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_Administration\1.  Board of Directors\1.  Board Meetings\F2024-2025\5.  November 27 2024\Meeting Materials\"/>
    </mc:Choice>
  </mc:AlternateContent>
  <bookViews>
    <workbookView xWindow="0" yWindow="0" windowWidth="28800" windowHeight="11700" activeTab="3"/>
  </bookViews>
  <sheets>
    <sheet name="Consolidated Detailed Budget" sheetId="1" r:id="rId1"/>
    <sheet name="Simplified Budget" sheetId="7" r:id="rId2"/>
    <sheet name="Rolling Budget" sheetId="2" state="hidden" r:id="rId3"/>
    <sheet name="Forecast Summary" sheetId="8" r:id="rId4"/>
  </sheets>
  <externalReferences>
    <externalReference r:id="rId5"/>
  </externalReferences>
  <definedNames>
    <definedName name="curr_month">#REF!</definedName>
    <definedName name="fcst">#REF!</definedName>
    <definedName name="_xlnm.Print_Area" localSheetId="0">'Consolidated Detailed Budget'!$A$2:$Q$81</definedName>
    <definedName name="_xlnm.Print_Titles" localSheetId="0">'Consolidated Detailed Budget'!$2:$3</definedName>
    <definedName name="start">#REF!</definedName>
    <definedName name="today">'Rolling Budget'!#REF!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4" i="8" l="1"/>
  <c r="AN4" i="8" l="1"/>
  <c r="BF4" i="8" l="1"/>
  <c r="AH11" i="8" l="1"/>
  <c r="AN11" i="8"/>
  <c r="AB11" i="8"/>
  <c r="AZ4" i="8" l="1"/>
  <c r="V4" i="8" l="1"/>
  <c r="P4" i="8"/>
  <c r="BR6" i="8" l="1"/>
  <c r="BL6" i="8"/>
  <c r="BF6" i="8"/>
  <c r="AZ6" i="8"/>
  <c r="AT6" i="8"/>
  <c r="AN6" i="8"/>
  <c r="AH6" i="8"/>
  <c r="AB6" i="8"/>
  <c r="AH4" i="8" l="1"/>
  <c r="AN5" i="8" l="1"/>
  <c r="AT5" i="8"/>
  <c r="O22" i="7" l="1"/>
  <c r="N22" i="7"/>
  <c r="M22" i="7"/>
  <c r="L22" i="7"/>
  <c r="K22" i="7"/>
  <c r="J22" i="7"/>
  <c r="I22" i="7"/>
  <c r="H22" i="7"/>
  <c r="G22" i="7"/>
  <c r="F22" i="7"/>
  <c r="E22" i="7"/>
  <c r="D22" i="7"/>
  <c r="BZ19" i="8"/>
  <c r="BZ18" i="8"/>
  <c r="CC18" i="8" s="1"/>
  <c r="BZ17" i="8"/>
  <c r="BZ16" i="8"/>
  <c r="BZ5" i="8"/>
  <c r="BZ6" i="8"/>
  <c r="BZ7" i="8"/>
  <c r="BZ8" i="8"/>
  <c r="BZ9" i="8"/>
  <c r="BZ10" i="8"/>
  <c r="BZ11" i="8"/>
  <c r="BZ4" i="8"/>
  <c r="BY19" i="8"/>
  <c r="BY18" i="8"/>
  <c r="BY17" i="8"/>
  <c r="BY16" i="8"/>
  <c r="BY11" i="8"/>
  <c r="BY10" i="8"/>
  <c r="BY9" i="8"/>
  <c r="BY8" i="8"/>
  <c r="BY7" i="8"/>
  <c r="BY6" i="8"/>
  <c r="BY5" i="8"/>
  <c r="BY4" i="8"/>
  <c r="D23" i="2"/>
  <c r="BR5" i="8"/>
  <c r="BR12" i="8" s="1"/>
  <c r="BQ17" i="8"/>
  <c r="BU17" i="8" s="1"/>
  <c r="BQ18" i="8"/>
  <c r="BU18" i="8" s="1"/>
  <c r="BQ19" i="8"/>
  <c r="BU19" i="8" s="1"/>
  <c r="BQ16" i="8"/>
  <c r="BU16" i="8" s="1"/>
  <c r="BQ5" i="8"/>
  <c r="BU5" i="8" s="1"/>
  <c r="BQ6" i="8"/>
  <c r="BQ7" i="8"/>
  <c r="BU7" i="8" s="1"/>
  <c r="BQ8" i="8"/>
  <c r="BT8" i="8" s="1"/>
  <c r="BQ9" i="8"/>
  <c r="BU9" i="8" s="1"/>
  <c r="BQ10" i="8"/>
  <c r="BU10" i="8" s="1"/>
  <c r="BQ11" i="8"/>
  <c r="BU11" i="8" s="1"/>
  <c r="BT6" i="8"/>
  <c r="BQ4" i="8"/>
  <c r="BT4" i="8" s="1"/>
  <c r="BS20" i="8"/>
  <c r="BR20" i="8"/>
  <c r="BV19" i="8"/>
  <c r="BV18" i="8"/>
  <c r="BV17" i="8"/>
  <c r="BV16" i="8"/>
  <c r="BS12" i="8"/>
  <c r="BV11" i="8"/>
  <c r="BV10" i="8"/>
  <c r="BV9" i="8"/>
  <c r="BV8" i="8"/>
  <c r="BV7" i="8"/>
  <c r="BV6" i="8"/>
  <c r="BV4" i="8"/>
  <c r="BL5" i="8"/>
  <c r="BK17" i="8"/>
  <c r="BN17" i="8" s="1"/>
  <c r="BK18" i="8"/>
  <c r="BO18" i="8" s="1"/>
  <c r="BK19" i="8"/>
  <c r="BO19" i="8" s="1"/>
  <c r="BK16" i="8"/>
  <c r="BO16" i="8" s="1"/>
  <c r="BK5" i="8"/>
  <c r="BO5" i="8" s="1"/>
  <c r="BK6" i="8"/>
  <c r="BN6" i="8" s="1"/>
  <c r="BK7" i="8"/>
  <c r="BO7" i="8" s="1"/>
  <c r="BK8" i="8"/>
  <c r="BN8" i="8" s="1"/>
  <c r="BK9" i="8"/>
  <c r="BN9" i="8" s="1"/>
  <c r="BK10" i="8"/>
  <c r="BN10" i="8" s="1"/>
  <c r="BK11" i="8"/>
  <c r="BO11" i="8" s="1"/>
  <c r="BK4" i="8"/>
  <c r="BN4" i="8" s="1"/>
  <c r="BM20" i="8"/>
  <c r="BL20" i="8"/>
  <c r="BP19" i="8"/>
  <c r="BP18" i="8"/>
  <c r="BP17" i="8"/>
  <c r="BP16" i="8"/>
  <c r="BM12" i="8"/>
  <c r="BP11" i="8"/>
  <c r="BP10" i="8"/>
  <c r="BP9" i="8"/>
  <c r="BP8" i="8"/>
  <c r="BP7" i="8"/>
  <c r="BP6" i="8"/>
  <c r="BL12" i="8"/>
  <c r="BP4" i="8"/>
  <c r="BF5" i="8"/>
  <c r="BE17" i="8"/>
  <c r="BI17" i="8" s="1"/>
  <c r="BE18" i="8"/>
  <c r="BI18" i="8" s="1"/>
  <c r="BE19" i="8"/>
  <c r="BI19" i="8" s="1"/>
  <c r="BE16" i="8"/>
  <c r="BI16" i="8" s="1"/>
  <c r="BE5" i="8"/>
  <c r="BI5" i="8" s="1"/>
  <c r="BE6" i="8"/>
  <c r="BH6" i="8" s="1"/>
  <c r="BE7" i="8"/>
  <c r="BH7" i="8" s="1"/>
  <c r="BE8" i="8"/>
  <c r="BI8" i="8" s="1"/>
  <c r="BE9" i="8"/>
  <c r="BI9" i="8" s="1"/>
  <c r="BE10" i="8"/>
  <c r="BI10" i="8" s="1"/>
  <c r="BE11" i="8"/>
  <c r="BH11" i="8" s="1"/>
  <c r="BE4" i="8"/>
  <c r="BI4" i="8" s="1"/>
  <c r="BG20" i="8"/>
  <c r="BF20" i="8"/>
  <c r="BJ19" i="8"/>
  <c r="BJ18" i="8"/>
  <c r="BJ17" i="8"/>
  <c r="BJ16" i="8"/>
  <c r="BG12" i="8"/>
  <c r="BG21" i="8" s="1"/>
  <c r="BJ11" i="8"/>
  <c r="BJ10" i="8"/>
  <c r="BJ9" i="8"/>
  <c r="BJ8" i="8"/>
  <c r="BJ7" i="8"/>
  <c r="BJ6" i="8"/>
  <c r="BF12" i="8"/>
  <c r="BJ4" i="8"/>
  <c r="AZ5" i="8"/>
  <c r="AY17" i="8"/>
  <c r="BC17" i="8" s="1"/>
  <c r="AY18" i="8"/>
  <c r="BC18" i="8" s="1"/>
  <c r="AY19" i="8"/>
  <c r="BB19" i="8" s="1"/>
  <c r="AY16" i="8"/>
  <c r="BC16" i="8" s="1"/>
  <c r="AY5" i="8"/>
  <c r="BC5" i="8" s="1"/>
  <c r="AY6" i="8"/>
  <c r="BB6" i="8" s="1"/>
  <c r="AY7" i="8"/>
  <c r="BC7" i="8" s="1"/>
  <c r="AY8" i="8"/>
  <c r="BB8" i="8" s="1"/>
  <c r="AY9" i="8"/>
  <c r="BC9" i="8" s="1"/>
  <c r="AY10" i="8"/>
  <c r="BB10" i="8" s="1"/>
  <c r="AY11" i="8"/>
  <c r="BC11" i="8" s="1"/>
  <c r="AY4" i="8"/>
  <c r="BC4" i="8" s="1"/>
  <c r="BA20" i="8"/>
  <c r="AZ20" i="8"/>
  <c r="BD19" i="8"/>
  <c r="BD18" i="8"/>
  <c r="BD17" i="8"/>
  <c r="BD16" i="8"/>
  <c r="BA12" i="8"/>
  <c r="BD11" i="8"/>
  <c r="BD10" i="8"/>
  <c r="BD9" i="8"/>
  <c r="BD8" i="8"/>
  <c r="BD7" i="8"/>
  <c r="BD6" i="8"/>
  <c r="BD5" i="8"/>
  <c r="BD4" i="8"/>
  <c r="AZ12" i="8"/>
  <c r="AZ21" i="8" s="1"/>
  <c r="AS17" i="8"/>
  <c r="AW17" i="8" s="1"/>
  <c r="AS18" i="8"/>
  <c r="AW18" i="8" s="1"/>
  <c r="AS19" i="8"/>
  <c r="AW19" i="8" s="1"/>
  <c r="AS16" i="8"/>
  <c r="AW16" i="8" s="1"/>
  <c r="AS5" i="8"/>
  <c r="AW5" i="8" s="1"/>
  <c r="AS6" i="8"/>
  <c r="AW6" i="8" s="1"/>
  <c r="AS7" i="8"/>
  <c r="AW7" i="8" s="1"/>
  <c r="AS8" i="8"/>
  <c r="AV8" i="8" s="1"/>
  <c r="AS9" i="8"/>
  <c r="AW9" i="8" s="1"/>
  <c r="AS10" i="8"/>
  <c r="AW10" i="8" s="1"/>
  <c r="AS11" i="8"/>
  <c r="AV11" i="8" s="1"/>
  <c r="AS4" i="8"/>
  <c r="AW4" i="8" s="1"/>
  <c r="AU20" i="8"/>
  <c r="AT20" i="8"/>
  <c r="AX19" i="8"/>
  <c r="AX18" i="8"/>
  <c r="AX17" i="8"/>
  <c r="AX16" i="8"/>
  <c r="AU12" i="8"/>
  <c r="AU21" i="8" s="1"/>
  <c r="AT12" i="8"/>
  <c r="AX11" i="8"/>
  <c r="AX10" i="8"/>
  <c r="AX9" i="8"/>
  <c r="AX8" i="8"/>
  <c r="AX7" i="8"/>
  <c r="AX6" i="8"/>
  <c r="AX5" i="8"/>
  <c r="AX4" i="8"/>
  <c r="V9" i="8"/>
  <c r="AB4" i="8"/>
  <c r="AH5" i="8"/>
  <c r="AH12" i="8" s="1"/>
  <c r="AM17" i="8"/>
  <c r="AQ17" i="8" s="1"/>
  <c r="AM18" i="8"/>
  <c r="AQ18" i="8" s="1"/>
  <c r="AM19" i="8"/>
  <c r="AQ19" i="8" s="1"/>
  <c r="AM16" i="8"/>
  <c r="AQ16" i="8" s="1"/>
  <c r="AM5" i="8"/>
  <c r="AQ5" i="8" s="1"/>
  <c r="AM6" i="8"/>
  <c r="AP6" i="8" s="1"/>
  <c r="AM7" i="8"/>
  <c r="AQ7" i="8" s="1"/>
  <c r="AM8" i="8"/>
  <c r="AP8" i="8" s="1"/>
  <c r="AM9" i="8"/>
  <c r="AQ9" i="8" s="1"/>
  <c r="AM10" i="8"/>
  <c r="AP10" i="8" s="1"/>
  <c r="AM11" i="8"/>
  <c r="AQ11" i="8" s="1"/>
  <c r="AM4" i="8"/>
  <c r="AP4" i="8" s="1"/>
  <c r="AO20" i="8"/>
  <c r="AN20" i="8"/>
  <c r="AR19" i="8"/>
  <c r="AR18" i="8"/>
  <c r="AR17" i="8"/>
  <c r="AR16" i="8"/>
  <c r="AO12" i="8"/>
  <c r="AN12" i="8"/>
  <c r="AR11" i="8"/>
  <c r="AR10" i="8"/>
  <c r="AR9" i="8"/>
  <c r="AR8" i="8"/>
  <c r="AR7" i="8"/>
  <c r="AR6" i="8"/>
  <c r="AR5" i="8"/>
  <c r="AR4" i="8"/>
  <c r="AG17" i="8"/>
  <c r="AK17" i="8" s="1"/>
  <c r="AG18" i="8"/>
  <c r="AJ18" i="8" s="1"/>
  <c r="AG19" i="8"/>
  <c r="AJ19" i="8" s="1"/>
  <c r="AG16" i="8"/>
  <c r="AJ16" i="8" s="1"/>
  <c r="AG5" i="8"/>
  <c r="AK5" i="8" s="1"/>
  <c r="AG6" i="8"/>
  <c r="AK6" i="8" s="1"/>
  <c r="AG7" i="8"/>
  <c r="AK7" i="8" s="1"/>
  <c r="AG8" i="8"/>
  <c r="AK8" i="8" s="1"/>
  <c r="AG9" i="8"/>
  <c r="AK9" i="8" s="1"/>
  <c r="AG10" i="8"/>
  <c r="AG11" i="8"/>
  <c r="AK11" i="8" s="1"/>
  <c r="AG4" i="8"/>
  <c r="AK4" i="8" s="1"/>
  <c r="AI20" i="8"/>
  <c r="AH20" i="8"/>
  <c r="AL19" i="8"/>
  <c r="AL18" i="8"/>
  <c r="AL17" i="8"/>
  <c r="AL16" i="8"/>
  <c r="AI12" i="8"/>
  <c r="AL11" i="8"/>
  <c r="AL10" i="8"/>
  <c r="AK10" i="8"/>
  <c r="AL9" i="8"/>
  <c r="AL8" i="8"/>
  <c r="AL7" i="8"/>
  <c r="AL6" i="8"/>
  <c r="AL4" i="8"/>
  <c r="AA17" i="8"/>
  <c r="AD17" i="8" s="1"/>
  <c r="AA18" i="8"/>
  <c r="AE18" i="8" s="1"/>
  <c r="AA19" i="8"/>
  <c r="AE19" i="8" s="1"/>
  <c r="AA16" i="8"/>
  <c r="AE16" i="8" s="1"/>
  <c r="AA5" i="8"/>
  <c r="AD5" i="8" s="1"/>
  <c r="AA6" i="8"/>
  <c r="AE6" i="8" s="1"/>
  <c r="AA7" i="8"/>
  <c r="AD7" i="8" s="1"/>
  <c r="AA8" i="8"/>
  <c r="AE8" i="8" s="1"/>
  <c r="AA9" i="8"/>
  <c r="AD9" i="8" s="1"/>
  <c r="AA10" i="8"/>
  <c r="AD10" i="8" s="1"/>
  <c r="AA11" i="8"/>
  <c r="AD11" i="8" s="1"/>
  <c r="AA4" i="8"/>
  <c r="AE4" i="8" s="1"/>
  <c r="AC20" i="8"/>
  <c r="AB20" i="8"/>
  <c r="AF19" i="8"/>
  <c r="AF18" i="8"/>
  <c r="AF17" i="8"/>
  <c r="AF16" i="8"/>
  <c r="AC12" i="8"/>
  <c r="AB12" i="8"/>
  <c r="AF11" i="8"/>
  <c r="AF10" i="8"/>
  <c r="AF9" i="8"/>
  <c r="AF8" i="8"/>
  <c r="AF7" i="8"/>
  <c r="AF6" i="8"/>
  <c r="AF5" i="8"/>
  <c r="AF4" i="8"/>
  <c r="V12" i="8"/>
  <c r="U17" i="8"/>
  <c r="X17" i="8" s="1"/>
  <c r="U18" i="8"/>
  <c r="Y18" i="8" s="1"/>
  <c r="U19" i="8"/>
  <c r="Y19" i="8" s="1"/>
  <c r="U16" i="8"/>
  <c r="Y16" i="8" s="1"/>
  <c r="U5" i="8"/>
  <c r="Y5" i="8" s="1"/>
  <c r="U6" i="8"/>
  <c r="X6" i="8" s="1"/>
  <c r="U7" i="8"/>
  <c r="Y7" i="8" s="1"/>
  <c r="U8" i="8"/>
  <c r="X8" i="8" s="1"/>
  <c r="U9" i="8"/>
  <c r="Y9" i="8" s="1"/>
  <c r="U10" i="8"/>
  <c r="Y10" i="8" s="1"/>
  <c r="U11" i="8"/>
  <c r="Y11" i="8" s="1"/>
  <c r="U4" i="8"/>
  <c r="X4" i="8" s="1"/>
  <c r="W20" i="8"/>
  <c r="V20" i="8"/>
  <c r="Z19" i="8"/>
  <c r="Z18" i="8"/>
  <c r="Z17" i="8"/>
  <c r="Z16" i="8"/>
  <c r="W12" i="8"/>
  <c r="Z11" i="8"/>
  <c r="Z10" i="8"/>
  <c r="Z8" i="8"/>
  <c r="Z7" i="8"/>
  <c r="Z6" i="8"/>
  <c r="Z5" i="8"/>
  <c r="Z4" i="8"/>
  <c r="T16" i="8"/>
  <c r="T4" i="8"/>
  <c r="O17" i="8"/>
  <c r="S17" i="8" s="1"/>
  <c r="O18" i="8"/>
  <c r="S18" i="8" s="1"/>
  <c r="O19" i="8"/>
  <c r="S19" i="8" s="1"/>
  <c r="O16" i="8"/>
  <c r="S16" i="8" s="1"/>
  <c r="O5" i="8"/>
  <c r="R5" i="8" s="1"/>
  <c r="O6" i="8"/>
  <c r="R6" i="8" s="1"/>
  <c r="O7" i="8"/>
  <c r="S7" i="8" s="1"/>
  <c r="O8" i="8"/>
  <c r="S8" i="8" s="1"/>
  <c r="O9" i="8"/>
  <c r="R9" i="8" s="1"/>
  <c r="O10" i="8"/>
  <c r="R10" i="8" s="1"/>
  <c r="O11" i="8"/>
  <c r="R11" i="8" s="1"/>
  <c r="O4" i="8"/>
  <c r="S4" i="8" s="1"/>
  <c r="Q20" i="8"/>
  <c r="T19" i="8"/>
  <c r="T18" i="8"/>
  <c r="T17" i="8"/>
  <c r="Q12" i="8"/>
  <c r="T11" i="8"/>
  <c r="T10" i="8"/>
  <c r="T9" i="8"/>
  <c r="T8" i="8"/>
  <c r="T7" i="8"/>
  <c r="T6" i="8"/>
  <c r="K12" i="8"/>
  <c r="N18" i="8"/>
  <c r="J20" i="8"/>
  <c r="N8" i="8"/>
  <c r="N7" i="8"/>
  <c r="N6" i="8"/>
  <c r="N4" i="8"/>
  <c r="N11" i="8"/>
  <c r="I17" i="8"/>
  <c r="M17" i="8" s="1"/>
  <c r="I18" i="8"/>
  <c r="M18" i="8" s="1"/>
  <c r="I19" i="8"/>
  <c r="M19" i="8" s="1"/>
  <c r="I16" i="8"/>
  <c r="M16" i="8" s="1"/>
  <c r="I5" i="8"/>
  <c r="L5" i="8" s="1"/>
  <c r="I6" i="8"/>
  <c r="M6" i="8" s="1"/>
  <c r="I7" i="8"/>
  <c r="L7" i="8" s="1"/>
  <c r="I8" i="8"/>
  <c r="I9" i="8"/>
  <c r="M9" i="8" s="1"/>
  <c r="I10" i="8"/>
  <c r="M10" i="8" s="1"/>
  <c r="I11" i="8"/>
  <c r="I4" i="8"/>
  <c r="K20" i="8"/>
  <c r="N19" i="8"/>
  <c r="N17" i="8"/>
  <c r="N10" i="8"/>
  <c r="N9" i="8"/>
  <c r="C17" i="8"/>
  <c r="G17" i="8" s="1"/>
  <c r="C18" i="8"/>
  <c r="F18" i="8" s="1"/>
  <c r="C19" i="8"/>
  <c r="G19" i="8" s="1"/>
  <c r="C16" i="8"/>
  <c r="F16" i="8" s="1"/>
  <c r="C5" i="8"/>
  <c r="F5" i="8" s="1"/>
  <c r="C6" i="8"/>
  <c r="F6" i="8" s="1"/>
  <c r="C7" i="8"/>
  <c r="F7" i="8" s="1"/>
  <c r="C8" i="8"/>
  <c r="G8" i="8" s="1"/>
  <c r="C9" i="8"/>
  <c r="F9" i="8" s="1"/>
  <c r="C10" i="8"/>
  <c r="G10" i="8" s="1"/>
  <c r="C11" i="8"/>
  <c r="G11" i="8" s="1"/>
  <c r="C4" i="8"/>
  <c r="BX4" i="8" s="1"/>
  <c r="H19" i="8"/>
  <c r="H18" i="8"/>
  <c r="H17" i="8"/>
  <c r="H16" i="8"/>
  <c r="D20" i="8"/>
  <c r="E20" i="8"/>
  <c r="E21" i="8" s="1"/>
  <c r="D12" i="8"/>
  <c r="H5" i="8"/>
  <c r="H6" i="8"/>
  <c r="H7" i="8"/>
  <c r="H8" i="8"/>
  <c r="H9" i="8"/>
  <c r="H10" i="8"/>
  <c r="H11" i="8"/>
  <c r="H4" i="8"/>
  <c r="M3" i="2"/>
  <c r="O3" i="2"/>
  <c r="Q3" i="2"/>
  <c r="CC5" i="8" l="1"/>
  <c r="BA21" i="8"/>
  <c r="CC10" i="8"/>
  <c r="BM21" i="8"/>
  <c r="CC9" i="8"/>
  <c r="CC17" i="8"/>
  <c r="Y6" i="8"/>
  <c r="BI6" i="8"/>
  <c r="BT10" i="8"/>
  <c r="CC11" i="8"/>
  <c r="BV20" i="8"/>
  <c r="CC19" i="8"/>
  <c r="AX20" i="8"/>
  <c r="BD20" i="8"/>
  <c r="BP20" i="8"/>
  <c r="CC4" i="8"/>
  <c r="CC16" i="8"/>
  <c r="CC8" i="8"/>
  <c r="CC7" i="8"/>
  <c r="BJ20" i="8"/>
  <c r="BU8" i="8"/>
  <c r="CC6" i="8"/>
  <c r="CB4" i="8"/>
  <c r="BX7" i="8"/>
  <c r="CB7" i="8" s="1"/>
  <c r="AQ10" i="8"/>
  <c r="BS21" i="8"/>
  <c r="BR21" i="8"/>
  <c r="BX6" i="8"/>
  <c r="CA6" i="8" s="1"/>
  <c r="BY12" i="8"/>
  <c r="BY21" i="8" s="1"/>
  <c r="BY20" i="8"/>
  <c r="BX16" i="8"/>
  <c r="CB16" i="8" s="1"/>
  <c r="BX11" i="8"/>
  <c r="CB11" i="8" s="1"/>
  <c r="BX19" i="8"/>
  <c r="CB19" i="8" s="1"/>
  <c r="BC19" i="8"/>
  <c r="BF21" i="8"/>
  <c r="BJ21" i="8" s="1"/>
  <c r="BU4" i="8"/>
  <c r="BX10" i="8"/>
  <c r="BX18" i="8"/>
  <c r="CB18" i="8" s="1"/>
  <c r="BZ12" i="8"/>
  <c r="CB6" i="8"/>
  <c r="BX9" i="8"/>
  <c r="CA9" i="8" s="1"/>
  <c r="BX17" i="8"/>
  <c r="CB17" i="8" s="1"/>
  <c r="CA4" i="8"/>
  <c r="BX5" i="8"/>
  <c r="CB5" i="8" s="1"/>
  <c r="BX8" i="8"/>
  <c r="BZ20" i="8"/>
  <c r="AR20" i="8"/>
  <c r="BU6" i="8"/>
  <c r="BT17" i="8"/>
  <c r="BT19" i="8"/>
  <c r="BT5" i="8"/>
  <c r="BT7" i="8"/>
  <c r="BT9" i="8"/>
  <c r="BT11" i="8"/>
  <c r="BQ20" i="8"/>
  <c r="BU20" i="8" s="1"/>
  <c r="BV5" i="8"/>
  <c r="BV12" i="8" s="1"/>
  <c r="BT16" i="8"/>
  <c r="BT18" i="8"/>
  <c r="BQ12" i="8"/>
  <c r="BL21" i="8"/>
  <c r="BP21" i="8" s="1"/>
  <c r="BO17" i="8"/>
  <c r="BN7" i="8"/>
  <c r="BN11" i="8"/>
  <c r="BO4" i="8"/>
  <c r="BO6" i="8"/>
  <c r="BO9" i="8"/>
  <c r="BN19" i="8"/>
  <c r="BO10" i="8"/>
  <c r="BO8" i="8"/>
  <c r="BN5" i="8"/>
  <c r="BK20" i="8"/>
  <c r="BN20" i="8" s="1"/>
  <c r="BP5" i="8"/>
  <c r="BP12" i="8" s="1"/>
  <c r="BN16" i="8"/>
  <c r="BN18" i="8"/>
  <c r="BK12" i="8"/>
  <c r="BH9" i="8"/>
  <c r="BH10" i="8"/>
  <c r="BH8" i="8"/>
  <c r="BH19" i="8"/>
  <c r="BI7" i="8"/>
  <c r="BH17" i="8"/>
  <c r="BI11" i="8"/>
  <c r="BH5" i="8"/>
  <c r="BJ5" i="8"/>
  <c r="BJ12" i="8" s="1"/>
  <c r="BH16" i="8"/>
  <c r="BH18" i="8"/>
  <c r="BE20" i="8"/>
  <c r="BI20" i="8" s="1"/>
  <c r="BH4" i="8"/>
  <c r="BE12" i="8"/>
  <c r="BD12" i="8"/>
  <c r="BB11" i="8"/>
  <c r="BB9" i="8"/>
  <c r="BB7" i="8"/>
  <c r="BC10" i="8"/>
  <c r="BC8" i="8"/>
  <c r="BC6" i="8"/>
  <c r="BB17" i="8"/>
  <c r="BD21" i="8"/>
  <c r="BB5" i="8"/>
  <c r="AY20" i="8"/>
  <c r="BC20" i="8" s="1"/>
  <c r="BB16" i="8"/>
  <c r="BB18" i="8"/>
  <c r="BB4" i="8"/>
  <c r="AY12" i="8"/>
  <c r="AT21" i="8"/>
  <c r="AX21" i="8" s="1"/>
  <c r="AX12" i="8"/>
  <c r="AW8" i="8"/>
  <c r="AV6" i="8"/>
  <c r="AV10" i="8"/>
  <c r="AV4" i="8"/>
  <c r="AV19" i="8"/>
  <c r="AV5" i="8"/>
  <c r="AV7" i="8"/>
  <c r="AV9" i="8"/>
  <c r="AV17" i="8"/>
  <c r="AW11" i="8"/>
  <c r="AS12" i="8"/>
  <c r="AI21" i="8"/>
  <c r="AN21" i="8"/>
  <c r="AO21" i="8"/>
  <c r="AS20" i="8"/>
  <c r="AV16" i="8"/>
  <c r="AV18" i="8"/>
  <c r="AK19" i="8"/>
  <c r="AL5" i="8"/>
  <c r="AL12" i="8" s="1"/>
  <c r="AR12" i="8"/>
  <c r="AQ8" i="8"/>
  <c r="AQ6" i="8"/>
  <c r="AQ4" i="8"/>
  <c r="AP17" i="8"/>
  <c r="AP19" i="8"/>
  <c r="H20" i="8"/>
  <c r="K21" i="8"/>
  <c r="AP5" i="8"/>
  <c r="AP7" i="8"/>
  <c r="AP9" i="8"/>
  <c r="AP11" i="8"/>
  <c r="AM20" i="8"/>
  <c r="AQ20" i="8" s="1"/>
  <c r="S10" i="8"/>
  <c r="AP16" i="8"/>
  <c r="AP18" i="8"/>
  <c r="AM12" i="8"/>
  <c r="AB21" i="8"/>
  <c r="AH21" i="8"/>
  <c r="AL20" i="8"/>
  <c r="AK18" i="8"/>
  <c r="AK16" i="8"/>
  <c r="AJ17" i="8"/>
  <c r="AK12" i="8"/>
  <c r="AG12" i="8"/>
  <c r="AJ4" i="8"/>
  <c r="AJ6" i="8"/>
  <c r="AJ8" i="8"/>
  <c r="AJ10" i="8"/>
  <c r="AJ5" i="8"/>
  <c r="AJ7" i="8"/>
  <c r="AJ9" i="8"/>
  <c r="AJ11" i="8"/>
  <c r="AG20" i="8"/>
  <c r="AJ20" i="8" s="1"/>
  <c r="AC21" i="8"/>
  <c r="AF20" i="8"/>
  <c r="AF12" i="8"/>
  <c r="AD6" i="8"/>
  <c r="AE10" i="8"/>
  <c r="AD4" i="8"/>
  <c r="AE5" i="8"/>
  <c r="AE11" i="8"/>
  <c r="AE7" i="8"/>
  <c r="AD8" i="8"/>
  <c r="AE9" i="8"/>
  <c r="AA12" i="8"/>
  <c r="AD19" i="8"/>
  <c r="AE17" i="8"/>
  <c r="AA20" i="8"/>
  <c r="AD16" i="8"/>
  <c r="AD18" i="8"/>
  <c r="Z20" i="8"/>
  <c r="W21" i="8"/>
  <c r="V21" i="8"/>
  <c r="Z9" i="8"/>
  <c r="Z12" i="8" s="1"/>
  <c r="X10" i="8"/>
  <c r="Y4" i="8"/>
  <c r="Y8" i="8"/>
  <c r="X19" i="8"/>
  <c r="Y17" i="8"/>
  <c r="X5" i="8"/>
  <c r="X7" i="8"/>
  <c r="X9" i="8"/>
  <c r="X11" i="8"/>
  <c r="U20" i="8"/>
  <c r="Y20" i="8" s="1"/>
  <c r="X16" i="8"/>
  <c r="X18" i="8"/>
  <c r="U12" i="8"/>
  <c r="D21" i="8"/>
  <c r="H21" i="8" s="1"/>
  <c r="Q21" i="8"/>
  <c r="P20" i="8"/>
  <c r="T20" i="8" s="1"/>
  <c r="T5" i="8"/>
  <c r="T12" i="8" s="1"/>
  <c r="P12" i="8"/>
  <c r="R8" i="8"/>
  <c r="R4" i="8"/>
  <c r="S6" i="8"/>
  <c r="O12" i="8"/>
  <c r="R17" i="8"/>
  <c r="R7" i="8"/>
  <c r="S5" i="8"/>
  <c r="S9" i="8"/>
  <c r="S11" i="8"/>
  <c r="O20" i="8"/>
  <c r="R19" i="8"/>
  <c r="R16" i="8"/>
  <c r="R18" i="8"/>
  <c r="N20" i="8"/>
  <c r="N16" i="8"/>
  <c r="J12" i="8"/>
  <c r="J21" i="8" s="1"/>
  <c r="N5" i="8"/>
  <c r="N12" i="8" s="1"/>
  <c r="L8" i="8"/>
  <c r="L11" i="8"/>
  <c r="M8" i="8"/>
  <c r="L6" i="8"/>
  <c r="I12" i="8"/>
  <c r="L10" i="8"/>
  <c r="L4" i="8"/>
  <c r="M4" i="8"/>
  <c r="L17" i="8"/>
  <c r="L19" i="8"/>
  <c r="L9" i="8"/>
  <c r="I20" i="8"/>
  <c r="M20" i="8" s="1"/>
  <c r="M5" i="8"/>
  <c r="M7" i="8"/>
  <c r="M11" i="8"/>
  <c r="L16" i="8"/>
  <c r="L18" i="8"/>
  <c r="C12" i="8"/>
  <c r="F4" i="8"/>
  <c r="G18" i="8"/>
  <c r="F19" i="8"/>
  <c r="F17" i="8"/>
  <c r="G16" i="8"/>
  <c r="C20" i="8"/>
  <c r="H12" i="8"/>
  <c r="F10" i="8"/>
  <c r="F8" i="8"/>
  <c r="G7" i="8"/>
  <c r="F11" i="8"/>
  <c r="G9" i="8"/>
  <c r="G5" i="8"/>
  <c r="G6" i="8"/>
  <c r="G4" i="8"/>
  <c r="M4" i="2"/>
  <c r="Y4" i="2"/>
  <c r="W4" i="2"/>
  <c r="U4" i="2"/>
  <c r="S4" i="2"/>
  <c r="Q4" i="2"/>
  <c r="O4" i="2"/>
  <c r="K3" i="2"/>
  <c r="AC3" i="2" s="1"/>
  <c r="AC6" i="2"/>
  <c r="AC7" i="2"/>
  <c r="AC9" i="2"/>
  <c r="AC10" i="2"/>
  <c r="AC14" i="2"/>
  <c r="AC15" i="2"/>
  <c r="AC16" i="2"/>
  <c r="AC17" i="2"/>
  <c r="AC5" i="2"/>
  <c r="I8" i="2"/>
  <c r="AC8" i="2" s="1"/>
  <c r="CA11" i="8" l="1"/>
  <c r="CC12" i="8"/>
  <c r="CA16" i="8"/>
  <c r="Y12" i="8"/>
  <c r="BC12" i="8"/>
  <c r="BU12" i="8"/>
  <c r="BV21" i="8"/>
  <c r="Z21" i="8"/>
  <c r="CB8" i="8"/>
  <c r="CA8" i="8"/>
  <c r="CA19" i="8"/>
  <c r="AR21" i="8"/>
  <c r="BX20" i="8"/>
  <c r="CA18" i="8"/>
  <c r="CA7" i="8"/>
  <c r="BI12" i="8"/>
  <c r="CB9" i="8"/>
  <c r="CB10" i="8"/>
  <c r="CA10" i="8"/>
  <c r="CA17" i="8"/>
  <c r="CA5" i="8"/>
  <c r="BZ21" i="8"/>
  <c r="CC20" i="8"/>
  <c r="BX12" i="8"/>
  <c r="BQ21" i="8"/>
  <c r="BU21" i="8" s="1"/>
  <c r="BT12" i="8"/>
  <c r="BT20" i="8"/>
  <c r="BO12" i="8"/>
  <c r="BN12" i="8"/>
  <c r="BO20" i="8"/>
  <c r="BK21" i="8"/>
  <c r="BH12" i="8"/>
  <c r="BH20" i="8"/>
  <c r="BE21" i="8"/>
  <c r="BB20" i="8"/>
  <c r="AY21" i="8"/>
  <c r="BB12" i="8"/>
  <c r="AW12" i="8"/>
  <c r="AV12" i="8"/>
  <c r="AS21" i="8"/>
  <c r="AW21" i="8" s="1"/>
  <c r="AL21" i="8"/>
  <c r="N21" i="8"/>
  <c r="P21" i="8"/>
  <c r="T21" i="8" s="1"/>
  <c r="AV20" i="8"/>
  <c r="AW20" i="8"/>
  <c r="AF21" i="8"/>
  <c r="AQ12" i="8"/>
  <c r="AP12" i="8"/>
  <c r="AM21" i="8"/>
  <c r="AP20" i="8"/>
  <c r="AG21" i="8"/>
  <c r="AK20" i="8"/>
  <c r="AJ12" i="8"/>
  <c r="AD12" i="8"/>
  <c r="AE12" i="8"/>
  <c r="AE20" i="8"/>
  <c r="AD20" i="8"/>
  <c r="AA21" i="8"/>
  <c r="U21" i="8"/>
  <c r="X21" i="8" s="1"/>
  <c r="X12" i="8"/>
  <c r="X20" i="8"/>
  <c r="R12" i="8"/>
  <c r="O21" i="8"/>
  <c r="S12" i="8"/>
  <c r="R20" i="8"/>
  <c r="S20" i="8"/>
  <c r="I21" i="8"/>
  <c r="L21" i="8" s="1"/>
  <c r="M12" i="8"/>
  <c r="L12" i="8"/>
  <c r="L20" i="8"/>
  <c r="F12" i="8"/>
  <c r="C21" i="8"/>
  <c r="G20" i="8"/>
  <c r="F20" i="8"/>
  <c r="G12" i="8"/>
  <c r="AC18" i="2"/>
  <c r="AC4" i="2"/>
  <c r="AC11" i="2" s="1"/>
  <c r="AC19" i="2" s="1"/>
  <c r="AD14" i="2"/>
  <c r="AD15" i="2"/>
  <c r="AD16" i="2"/>
  <c r="AD17" i="2"/>
  <c r="AD4" i="2"/>
  <c r="AD5" i="2"/>
  <c r="AD6" i="2"/>
  <c r="AD7" i="2"/>
  <c r="AD8" i="2"/>
  <c r="AD9" i="2"/>
  <c r="AD10" i="2"/>
  <c r="AD3" i="2"/>
  <c r="CA12" i="8" l="1"/>
  <c r="CB12" i="8"/>
  <c r="BX21" i="8"/>
  <c r="CA21" i="8" s="1"/>
  <c r="CB20" i="8"/>
  <c r="CA20" i="8"/>
  <c r="CC21" i="8"/>
  <c r="CB21" i="8"/>
  <c r="BT21" i="8"/>
  <c r="BO21" i="8"/>
  <c r="BN21" i="8"/>
  <c r="BI21" i="8"/>
  <c r="BH21" i="8"/>
  <c r="BB21" i="8"/>
  <c r="BC21" i="8"/>
  <c r="AV21" i="8"/>
  <c r="R21" i="8"/>
  <c r="AQ21" i="8"/>
  <c r="AP21" i="8"/>
  <c r="AK21" i="8"/>
  <c r="AJ21" i="8"/>
  <c r="AD21" i="8"/>
  <c r="AE21" i="8"/>
  <c r="Y21" i="8"/>
  <c r="S21" i="8"/>
  <c r="M21" i="8"/>
  <c r="G21" i="8"/>
  <c r="F21" i="8"/>
  <c r="AD18" i="2"/>
  <c r="AD11" i="2"/>
  <c r="AB5" i="2"/>
  <c r="AB6" i="2"/>
  <c r="AB8" i="2"/>
  <c r="AB9" i="2"/>
  <c r="AB10" i="2"/>
  <c r="AB15" i="2"/>
  <c r="AB16" i="2"/>
  <c r="AB3" i="2"/>
  <c r="Q4" i="7"/>
  <c r="AB4" i="2" s="1"/>
  <c r="Q5" i="7"/>
  <c r="Q6" i="7"/>
  <c r="Q7" i="7"/>
  <c r="AB7" i="2" s="1"/>
  <c r="Q8" i="7"/>
  <c r="Q9" i="7"/>
  <c r="Q10" i="7"/>
  <c r="Q14" i="7"/>
  <c r="AB14" i="2" s="1"/>
  <c r="Q15" i="7"/>
  <c r="Q16" i="7"/>
  <c r="Q17" i="7"/>
  <c r="AB17" i="2" s="1"/>
  <c r="Q3" i="7"/>
  <c r="Z11" i="2"/>
  <c r="Z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O18" i="7"/>
  <c r="N18" i="7"/>
  <c r="M18" i="7"/>
  <c r="L18" i="7"/>
  <c r="K18" i="7"/>
  <c r="J18" i="7"/>
  <c r="I18" i="7"/>
  <c r="H18" i="7"/>
  <c r="G18" i="7"/>
  <c r="Q18" i="7" s="1"/>
  <c r="AB18" i="2" s="1"/>
  <c r="F18" i="7"/>
  <c r="E18" i="7"/>
  <c r="D18" i="7"/>
  <c r="O11" i="7"/>
  <c r="N11" i="7"/>
  <c r="N19" i="7" s="1"/>
  <c r="M11" i="7"/>
  <c r="M19" i="7" s="1"/>
  <c r="L11" i="7"/>
  <c r="L19" i="7" s="1"/>
  <c r="K11" i="7"/>
  <c r="K19" i="7" s="1"/>
  <c r="J11" i="7"/>
  <c r="I11" i="7"/>
  <c r="H11" i="7"/>
  <c r="G11" i="7"/>
  <c r="F11" i="7"/>
  <c r="F19" i="7" s="1"/>
  <c r="E11" i="7"/>
  <c r="E19" i="7" s="1"/>
  <c r="D11" i="7"/>
  <c r="D19" i="7" s="1"/>
  <c r="Q11" i="7" l="1"/>
  <c r="AB11" i="2" s="1"/>
  <c r="G19" i="7"/>
  <c r="Q19" i="7" s="1"/>
  <c r="AB19" i="2" s="1"/>
  <c r="I19" i="7"/>
  <c r="O19" i="7"/>
  <c r="H19" i="7"/>
  <c r="J19" i="7"/>
  <c r="AD19" i="2"/>
  <c r="T19" i="2"/>
  <c r="N19" i="2"/>
  <c r="Y19" i="2"/>
  <c r="M19" i="2"/>
  <c r="W19" i="2"/>
  <c r="Q19" i="2"/>
  <c r="K19" i="2"/>
  <c r="U19" i="2"/>
  <c r="O19" i="2"/>
  <c r="S19" i="2"/>
  <c r="X19" i="2"/>
  <c r="R19" i="2"/>
  <c r="L19" i="2"/>
  <c r="Z19" i="2"/>
  <c r="V19" i="2"/>
  <c r="P19" i="2"/>
  <c r="C18" i="2" l="1"/>
  <c r="F18" i="2"/>
  <c r="E18" i="2"/>
  <c r="H18" i="2"/>
  <c r="G18" i="2"/>
  <c r="J18" i="2"/>
  <c r="I18" i="2"/>
  <c r="D18" i="2"/>
  <c r="C11" i="2"/>
  <c r="F11" i="2"/>
  <c r="E11" i="2"/>
  <c r="H11" i="2"/>
  <c r="G11" i="2"/>
  <c r="J11" i="2"/>
  <c r="I11" i="2"/>
  <c r="D11" i="2"/>
  <c r="J19" i="2" l="1"/>
  <c r="G19" i="2"/>
  <c r="I19" i="2"/>
  <c r="E19" i="2"/>
  <c r="H19" i="2"/>
  <c r="F19" i="2"/>
  <c r="C19" i="2"/>
  <c r="D19" i="2"/>
  <c r="S61" i="1"/>
  <c r="S60" i="1"/>
  <c r="S45" i="1"/>
  <c r="C33" i="1"/>
  <c r="V6" i="1"/>
  <c r="V7" i="1"/>
  <c r="S21" i="1"/>
  <c r="S14" i="1"/>
  <c r="V5" i="1" s="1"/>
  <c r="S26" i="1" l="1"/>
  <c r="V9" i="1"/>
  <c r="V8" i="1"/>
  <c r="V10" i="1" s="1"/>
  <c r="R41" i="1" l="1"/>
  <c r="S44" i="1" s="1"/>
  <c r="R42" i="1"/>
  <c r="T42" i="1" s="1"/>
  <c r="S7" i="1"/>
  <c r="S33" i="1" s="1"/>
  <c r="W10" i="1" s="1"/>
  <c r="T33" i="1" l="1"/>
  <c r="S72" i="1"/>
  <c r="S34" i="1"/>
</calcChain>
</file>

<file path=xl/comments1.xml><?xml version="1.0" encoding="utf-8"?>
<comments xmlns="http://schemas.openxmlformats.org/spreadsheetml/2006/main">
  <authors>
    <author>Elaine Crowell</author>
  </authors>
  <commentList>
    <comment ref="D32" authorId="0" shapeId="0">
      <text>
        <r>
          <rPr>
            <b/>
            <sz val="9"/>
            <color indexed="81"/>
            <rFont val="Tahoma"/>
            <family val="2"/>
          </rPr>
          <t>Elaine Crowell: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Tanya Cockman</author>
  </authors>
  <commentList>
    <comment ref="AC1" authorId="0" shapeId="0">
      <text>
        <r>
          <rPr>
            <b/>
            <sz val="9"/>
            <color indexed="81"/>
            <rFont val="Tahoma"/>
            <family val="2"/>
          </rPr>
          <t>Tanya Cockman:</t>
        </r>
        <r>
          <rPr>
            <sz val="9"/>
            <color indexed="81"/>
            <rFont val="Tahoma"/>
            <family val="2"/>
          </rPr>
          <t xml:space="preserve">
BUDGET numbers only, as changing</t>
        </r>
      </text>
    </comment>
    <comment ref="AD1" authorId="0" shapeId="0">
      <text>
        <r>
          <rPr>
            <b/>
            <sz val="9"/>
            <color indexed="81"/>
            <rFont val="Tahoma"/>
            <family val="2"/>
          </rPr>
          <t>Tanya Cockman:</t>
        </r>
        <r>
          <rPr>
            <sz val="9"/>
            <color indexed="81"/>
            <rFont val="Tahoma"/>
            <family val="2"/>
          </rPr>
          <t xml:space="preserve">
YTD Actual + Future Rolling Budget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</rPr>
          <t>Tanya Cockman:</t>
        </r>
        <r>
          <rPr>
            <sz val="9"/>
            <color indexed="81"/>
            <rFont val="Tahoma"/>
            <family val="2"/>
          </rPr>
          <t xml:space="preserve">
Deduct $20K budgeted CGC donations.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</rPr>
          <t>Tanya Cockman:</t>
        </r>
        <r>
          <rPr>
            <sz val="9"/>
            <color indexed="81"/>
            <rFont val="Tahoma"/>
            <family val="2"/>
          </rPr>
          <t xml:space="preserve">
Deduct $20K budgeted CGC donations.
Cat &amp; Fiddle $5K above forecasted.
Holy Spirit $4K received (forecasted $5K in Oct).</t>
        </r>
      </text>
    </comment>
    <comment ref="O3" authorId="0" shapeId="0">
      <text>
        <r>
          <rPr>
            <b/>
            <sz val="9"/>
            <color indexed="81"/>
            <rFont val="Tahoma"/>
            <family val="2"/>
          </rPr>
          <t>Tanya Cockman:</t>
        </r>
        <r>
          <rPr>
            <sz val="9"/>
            <color indexed="81"/>
            <rFont val="Tahoma"/>
            <family val="2"/>
          </rPr>
          <t xml:space="preserve">
Holy Spirit received in Sep/24.</t>
        </r>
      </text>
    </comment>
    <comment ref="Q3" authorId="0" shapeId="0">
      <text>
        <r>
          <rPr>
            <b/>
            <sz val="9"/>
            <color indexed="81"/>
            <rFont val="Tahoma"/>
            <family val="2"/>
          </rPr>
          <t>Tanya Cockman:</t>
        </r>
        <r>
          <rPr>
            <sz val="9"/>
            <color indexed="81"/>
            <rFont val="Tahoma"/>
            <family val="2"/>
          </rPr>
          <t xml:space="preserve">
Cat &amp; Fiddle $17K below forecast.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Tanya Cockman:</t>
        </r>
        <r>
          <rPr>
            <sz val="9"/>
            <color indexed="81"/>
            <rFont val="Tahoma"/>
            <family val="2"/>
          </rPr>
          <t xml:space="preserve">
Apr-Aug 2% retro increase in funding.
Sep 2% increase in funding.</t>
        </r>
      </text>
    </comment>
    <comment ref="O4" authorId="0" shapeId="0">
      <text>
        <r>
          <rPr>
            <b/>
            <sz val="9"/>
            <color indexed="81"/>
            <rFont val="Tahoma"/>
            <family val="2"/>
          </rPr>
          <t>Tanya Cockman:</t>
        </r>
        <r>
          <rPr>
            <sz val="9"/>
            <color indexed="81"/>
            <rFont val="Tahoma"/>
            <family val="2"/>
          </rPr>
          <t xml:space="preserve">
2% increase in funding.</t>
        </r>
      </text>
    </comment>
    <comment ref="Q4" authorId="0" shapeId="0">
      <text>
        <r>
          <rPr>
            <b/>
            <sz val="9"/>
            <color indexed="81"/>
            <rFont val="Tahoma"/>
            <family val="2"/>
          </rPr>
          <t>Tanya Cockman:</t>
        </r>
        <r>
          <rPr>
            <sz val="9"/>
            <color indexed="81"/>
            <rFont val="Tahoma"/>
            <family val="2"/>
          </rPr>
          <t xml:space="preserve">
2% increase in funding.</t>
        </r>
      </text>
    </comment>
    <comment ref="S4" authorId="0" shapeId="0">
      <text>
        <r>
          <rPr>
            <b/>
            <sz val="9"/>
            <color indexed="81"/>
            <rFont val="Tahoma"/>
            <family val="2"/>
          </rPr>
          <t>Tanya Cockman:</t>
        </r>
        <r>
          <rPr>
            <sz val="9"/>
            <color indexed="81"/>
            <rFont val="Tahoma"/>
            <family val="2"/>
          </rPr>
          <t xml:space="preserve">
2% increase in funding.</t>
        </r>
      </text>
    </comment>
    <comment ref="U4" authorId="0" shapeId="0">
      <text>
        <r>
          <rPr>
            <b/>
            <sz val="9"/>
            <color indexed="81"/>
            <rFont val="Tahoma"/>
            <family val="2"/>
          </rPr>
          <t>Tanya Cockman:</t>
        </r>
        <r>
          <rPr>
            <sz val="9"/>
            <color indexed="81"/>
            <rFont val="Tahoma"/>
            <family val="2"/>
          </rPr>
          <t xml:space="preserve">
2% increase in funding.</t>
        </r>
      </text>
    </comment>
    <comment ref="W4" authorId="0" shapeId="0">
      <text>
        <r>
          <rPr>
            <b/>
            <sz val="9"/>
            <color indexed="81"/>
            <rFont val="Tahoma"/>
            <family val="2"/>
          </rPr>
          <t>Tanya Cockman:</t>
        </r>
        <r>
          <rPr>
            <sz val="9"/>
            <color indexed="81"/>
            <rFont val="Tahoma"/>
            <family val="2"/>
          </rPr>
          <t xml:space="preserve">
2% increase in funding.</t>
        </r>
      </text>
    </comment>
    <comment ref="Y4" authorId="0" shapeId="0">
      <text>
        <r>
          <rPr>
            <b/>
            <sz val="9"/>
            <color indexed="81"/>
            <rFont val="Tahoma"/>
            <family val="2"/>
          </rPr>
          <t>Tanya Cockman:</t>
        </r>
        <r>
          <rPr>
            <sz val="9"/>
            <color indexed="81"/>
            <rFont val="Tahoma"/>
            <family val="2"/>
          </rPr>
          <t xml:space="preserve">
2% increase in funding.</t>
        </r>
      </text>
    </comment>
    <comment ref="I8" authorId="0" shapeId="0">
      <text>
        <r>
          <rPr>
            <b/>
            <sz val="9"/>
            <color indexed="81"/>
            <rFont val="Tahoma"/>
            <family val="2"/>
          </rPr>
          <t>Tanya Cockman:</t>
        </r>
        <r>
          <rPr>
            <sz val="9"/>
            <color indexed="81"/>
            <rFont val="Tahoma"/>
            <family val="2"/>
          </rPr>
          <t xml:space="preserve">
Application rejected.</t>
        </r>
      </text>
    </comment>
  </commentList>
</comments>
</file>

<file path=xl/comments3.xml><?xml version="1.0" encoding="utf-8"?>
<comments xmlns="http://schemas.openxmlformats.org/spreadsheetml/2006/main">
  <authors>
    <author>Tanya Cockman</author>
  </authors>
  <commentList>
    <comment ref="BY3" authorId="0" shapeId="0">
      <text>
        <r>
          <rPr>
            <b/>
            <sz val="9"/>
            <color indexed="81"/>
            <rFont val="Tahoma"/>
            <family val="2"/>
          </rPr>
          <t>Tanya Cockman:</t>
        </r>
        <r>
          <rPr>
            <sz val="9"/>
            <color indexed="81"/>
            <rFont val="Tahoma"/>
            <family val="2"/>
          </rPr>
          <t xml:space="preserve">
BUDGET numbers only, as changing</t>
        </r>
      </text>
    </comment>
    <comment ref="BZ3" authorId="0" shapeId="0">
      <text>
        <r>
          <rPr>
            <b/>
            <sz val="9"/>
            <color indexed="81"/>
            <rFont val="Tahoma"/>
            <family val="2"/>
          </rPr>
          <t>Tanya Cockman:</t>
        </r>
        <r>
          <rPr>
            <sz val="9"/>
            <color indexed="81"/>
            <rFont val="Tahoma"/>
            <family val="2"/>
          </rPr>
          <t xml:space="preserve">
YTD Actual + Future Rolling Budget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Tanya Cockman:</t>
        </r>
        <r>
          <rPr>
            <sz val="9"/>
            <color indexed="81"/>
            <rFont val="Tahoma"/>
            <family val="2"/>
          </rPr>
          <t xml:space="preserve">
$4150 Garner moved to Oct.</t>
        </r>
      </text>
    </comment>
    <comment ref="V4" authorId="0" shapeId="0">
      <text>
        <r>
          <rPr>
            <b/>
            <sz val="9"/>
            <color indexed="81"/>
            <rFont val="Tahoma"/>
            <family val="2"/>
          </rPr>
          <t>Tanya Cockman:</t>
        </r>
        <r>
          <rPr>
            <sz val="9"/>
            <color indexed="81"/>
            <rFont val="Tahoma"/>
            <family val="2"/>
          </rPr>
          <t xml:space="preserve">
$10K Jack Carter originally budgeted in Oct.</t>
        </r>
      </text>
    </comment>
    <comment ref="AB4" authorId="0" shapeId="0">
      <text>
        <r>
          <rPr>
            <b/>
            <sz val="9"/>
            <color indexed="81"/>
            <rFont val="Tahoma"/>
            <family val="2"/>
          </rPr>
          <t>Tanya Cockman:</t>
        </r>
        <r>
          <rPr>
            <sz val="9"/>
            <color indexed="81"/>
            <rFont val="Tahoma"/>
            <family val="2"/>
          </rPr>
          <t xml:space="preserve">
Deduct $20K budgeted CGC donations.</t>
        </r>
      </text>
    </comment>
    <comment ref="AH4" authorId="0" shapeId="0">
      <text>
        <r>
          <rPr>
            <b/>
            <sz val="9"/>
            <color indexed="81"/>
            <rFont val="Tahoma"/>
            <family val="2"/>
          </rPr>
          <t>Tanya Cockman:</t>
        </r>
        <r>
          <rPr>
            <sz val="9"/>
            <color indexed="81"/>
            <rFont val="Tahoma"/>
            <family val="2"/>
          </rPr>
          <t xml:space="preserve">
Deduct $20K budgeted CGC donations.
Cat &amp; Fiddle $5K above forecasted.
Holy Spirit $4K received (forecasted $5K in Oct).
Wheelers, move $60K to Oct.</t>
        </r>
      </text>
    </comment>
    <comment ref="AN4" authorId="0" shapeId="0">
      <text>
        <r>
          <rPr>
            <b/>
            <sz val="9"/>
            <color indexed="81"/>
            <rFont val="Tahoma"/>
            <family val="2"/>
          </rPr>
          <t>Tanya Cockman:</t>
        </r>
        <r>
          <rPr>
            <sz val="9"/>
            <color indexed="81"/>
            <rFont val="Tahoma"/>
            <family val="2"/>
          </rPr>
          <t xml:space="preserve">
Holy Spirit received in / moved to Sep/24.
TBAC Investments move $15K to Jan/25.
Wheelers, moved from Sep AND increased from $60K to $76K.
$10K Jack Carter received in / moved to Jul/24.
$4150 Jim &amp; Doris Garner (originally forecasted June).
$5K Graydon &amp; Dorothy Morrison (not budgeted).
$500 Cindy Johnson Royer (not budgeted).
$40K Berkhold family (budgeted $15K in Dec).
$10K Jackson Family above budget.
SS Sponsorship $5K over budget.
$5K Margaret Southern (not budgeted).
$3K Winkelaar did not receive.</t>
        </r>
      </text>
    </comment>
    <comment ref="AT4" authorId="0" shapeId="0">
      <text>
        <r>
          <rPr>
            <b/>
            <sz val="9"/>
            <color indexed="81"/>
            <rFont val="Tahoma"/>
            <family val="2"/>
          </rPr>
          <t>Tanya Cockman:</t>
        </r>
        <r>
          <rPr>
            <sz val="9"/>
            <color indexed="81"/>
            <rFont val="Tahoma"/>
            <family val="2"/>
          </rPr>
          <t xml:space="preserve">
Cat &amp; Fiddle $17K below forecast.
$35K Co-Op / Willow Park (not in budget).
$5K added to Pat's Concert forecast.
CHAS $5K under budget.
Arthur Child, move $25K to Jan/25.
$1M Al Osten donation not budgeted.
$10K Casino proceeds above budget.</t>
        </r>
      </text>
    </comment>
    <comment ref="AZ4" authorId="0" shapeId="0">
      <text>
        <r>
          <rPr>
            <b/>
            <sz val="9"/>
            <color indexed="81"/>
            <rFont val="Tahoma"/>
            <family val="2"/>
          </rPr>
          <t>Tanya Cockman:</t>
        </r>
        <r>
          <rPr>
            <sz val="9"/>
            <color indexed="81"/>
            <rFont val="Tahoma"/>
            <family val="2"/>
          </rPr>
          <t xml:space="preserve">
$10K PC Caremakers to Jan/25.
Deduct $15K Berkhold family (received $40K in Oct).</t>
        </r>
      </text>
    </comment>
    <comment ref="BF4" authorId="0" shapeId="0">
      <text>
        <r>
          <rPr>
            <b/>
            <sz val="9"/>
            <color indexed="81"/>
            <rFont val="Tahoma"/>
            <family val="2"/>
          </rPr>
          <t>Tanya Cockman:</t>
        </r>
        <r>
          <rPr>
            <sz val="9"/>
            <color indexed="81"/>
            <rFont val="Tahoma"/>
            <family val="2"/>
          </rPr>
          <t xml:space="preserve">
TBAC Investments moved $15K budget from Oct/24.
PC Caremakers moved $10K budget from Dec/24.
Arthur Child, $25K moved from Nov/24.</t>
        </r>
      </text>
    </comment>
    <comment ref="AH5" authorId="0" shapeId="0">
      <text>
        <r>
          <rPr>
            <b/>
            <sz val="9"/>
            <color indexed="81"/>
            <rFont val="Tahoma"/>
            <family val="2"/>
          </rPr>
          <t>Tanya Cockman:</t>
        </r>
        <r>
          <rPr>
            <sz val="9"/>
            <color indexed="81"/>
            <rFont val="Tahoma"/>
            <family val="2"/>
          </rPr>
          <t xml:space="preserve">
Apr-Aug 2% retro increase in funding.
Sep 2% increase in funding.</t>
        </r>
      </text>
    </comment>
    <comment ref="AN5" authorId="0" shapeId="0">
      <text>
        <r>
          <rPr>
            <b/>
            <sz val="9"/>
            <color indexed="81"/>
            <rFont val="Tahoma"/>
            <family val="2"/>
          </rPr>
          <t>Tanya Cockman:</t>
        </r>
        <r>
          <rPr>
            <sz val="9"/>
            <color indexed="81"/>
            <rFont val="Tahoma"/>
            <family val="2"/>
          </rPr>
          <t xml:space="preserve">
2% increase in funding.</t>
        </r>
      </text>
    </comment>
    <comment ref="AT5" authorId="0" shapeId="0">
      <text>
        <r>
          <rPr>
            <b/>
            <sz val="9"/>
            <color indexed="81"/>
            <rFont val="Tahoma"/>
            <family val="2"/>
          </rPr>
          <t>Tanya Cockman:</t>
        </r>
        <r>
          <rPr>
            <sz val="9"/>
            <color indexed="81"/>
            <rFont val="Tahoma"/>
            <family val="2"/>
          </rPr>
          <t xml:space="preserve">
2% increase in funding.</t>
        </r>
      </text>
    </comment>
    <comment ref="AZ5" authorId="0" shapeId="0">
      <text>
        <r>
          <rPr>
            <b/>
            <sz val="9"/>
            <color indexed="81"/>
            <rFont val="Tahoma"/>
            <family val="2"/>
          </rPr>
          <t>Tanya Cockman:</t>
        </r>
        <r>
          <rPr>
            <sz val="9"/>
            <color indexed="81"/>
            <rFont val="Tahoma"/>
            <family val="2"/>
          </rPr>
          <t xml:space="preserve">
2% increase in funding.</t>
        </r>
      </text>
    </comment>
    <comment ref="BF5" authorId="0" shapeId="0">
      <text>
        <r>
          <rPr>
            <b/>
            <sz val="9"/>
            <color indexed="81"/>
            <rFont val="Tahoma"/>
            <family val="2"/>
          </rPr>
          <t>Tanya Cockman:</t>
        </r>
        <r>
          <rPr>
            <sz val="9"/>
            <color indexed="81"/>
            <rFont val="Tahoma"/>
            <family val="2"/>
          </rPr>
          <t xml:space="preserve">
2% increase in funding.</t>
        </r>
      </text>
    </comment>
    <comment ref="BL5" authorId="0" shapeId="0">
      <text>
        <r>
          <rPr>
            <b/>
            <sz val="9"/>
            <color indexed="81"/>
            <rFont val="Tahoma"/>
            <family val="2"/>
          </rPr>
          <t>Tanya Cockman:</t>
        </r>
        <r>
          <rPr>
            <sz val="9"/>
            <color indexed="81"/>
            <rFont val="Tahoma"/>
            <family val="2"/>
          </rPr>
          <t xml:space="preserve">
2% increase in funding.</t>
        </r>
      </text>
    </comment>
    <comment ref="BR5" authorId="0" shapeId="0">
      <text>
        <r>
          <rPr>
            <b/>
            <sz val="9"/>
            <color indexed="81"/>
            <rFont val="Tahoma"/>
            <family val="2"/>
          </rPr>
          <t>Tanya Cockman:</t>
        </r>
        <r>
          <rPr>
            <sz val="9"/>
            <color indexed="81"/>
            <rFont val="Tahoma"/>
            <family val="2"/>
          </rPr>
          <t xml:space="preserve">
2% increase in funding.</t>
        </r>
      </text>
    </comment>
    <comment ref="AH6" authorId="0" shapeId="0">
      <text>
        <r>
          <rPr>
            <b/>
            <sz val="9"/>
            <color indexed="81"/>
            <rFont val="Tahoma"/>
            <family val="2"/>
          </rPr>
          <t>Tanya Cockman:</t>
        </r>
        <r>
          <rPr>
            <sz val="9"/>
            <color indexed="81"/>
            <rFont val="Tahoma"/>
            <family val="2"/>
          </rPr>
          <t xml:space="preserve">
PEOLC income less than budgeted</t>
        </r>
      </text>
    </comment>
    <comment ref="AN6" authorId="0" shapeId="0">
      <text>
        <r>
          <rPr>
            <b/>
            <sz val="9"/>
            <color indexed="81"/>
            <rFont val="Tahoma"/>
            <family val="2"/>
          </rPr>
          <t>Tanya Cockman:</t>
        </r>
        <r>
          <rPr>
            <sz val="9"/>
            <color indexed="81"/>
            <rFont val="Tahoma"/>
            <family val="2"/>
          </rPr>
          <t xml:space="preserve">
PEOLC income less than budgeted</t>
        </r>
      </text>
    </comment>
    <comment ref="AT6" authorId="0" shapeId="0">
      <text>
        <r>
          <rPr>
            <b/>
            <sz val="9"/>
            <color indexed="81"/>
            <rFont val="Tahoma"/>
            <family val="2"/>
          </rPr>
          <t>Tanya Cockman:</t>
        </r>
        <r>
          <rPr>
            <sz val="9"/>
            <color indexed="81"/>
            <rFont val="Tahoma"/>
            <family val="2"/>
          </rPr>
          <t xml:space="preserve">
PEOLC income less than budgeted</t>
        </r>
      </text>
    </comment>
    <comment ref="AZ6" authorId="0" shapeId="0">
      <text>
        <r>
          <rPr>
            <b/>
            <sz val="9"/>
            <color indexed="81"/>
            <rFont val="Tahoma"/>
            <family val="2"/>
          </rPr>
          <t>Tanya Cockman:</t>
        </r>
        <r>
          <rPr>
            <sz val="9"/>
            <color indexed="81"/>
            <rFont val="Tahoma"/>
            <family val="2"/>
          </rPr>
          <t xml:space="preserve">
PEOLC income less than budgeted</t>
        </r>
      </text>
    </comment>
    <comment ref="BF6" authorId="0" shapeId="0">
      <text>
        <r>
          <rPr>
            <b/>
            <sz val="9"/>
            <color indexed="81"/>
            <rFont val="Tahoma"/>
            <family val="2"/>
          </rPr>
          <t>Tanya Cockman:</t>
        </r>
        <r>
          <rPr>
            <sz val="9"/>
            <color indexed="81"/>
            <rFont val="Tahoma"/>
            <family val="2"/>
          </rPr>
          <t xml:space="preserve">
PEOLC income less than budgeted</t>
        </r>
      </text>
    </comment>
    <comment ref="BL6" authorId="0" shapeId="0">
      <text>
        <r>
          <rPr>
            <b/>
            <sz val="9"/>
            <color indexed="81"/>
            <rFont val="Tahoma"/>
            <family val="2"/>
          </rPr>
          <t>Tanya Cockman:</t>
        </r>
        <r>
          <rPr>
            <sz val="9"/>
            <color indexed="81"/>
            <rFont val="Tahoma"/>
            <family val="2"/>
          </rPr>
          <t xml:space="preserve">
PEOLC income less than budgeted</t>
        </r>
      </text>
    </comment>
    <comment ref="BR6" authorId="0" shapeId="0">
      <text>
        <r>
          <rPr>
            <b/>
            <sz val="9"/>
            <color indexed="81"/>
            <rFont val="Tahoma"/>
            <family val="2"/>
          </rPr>
          <t>Tanya Cockman:</t>
        </r>
        <r>
          <rPr>
            <sz val="9"/>
            <color indexed="81"/>
            <rFont val="Tahoma"/>
            <family val="2"/>
          </rPr>
          <t xml:space="preserve">
PEOLC income less than budgeted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Tanya Cockman:</t>
        </r>
        <r>
          <rPr>
            <sz val="9"/>
            <color indexed="81"/>
            <rFont val="Tahoma"/>
            <family val="2"/>
          </rPr>
          <t xml:space="preserve">
Application rejected.</t>
        </r>
      </text>
    </comment>
    <comment ref="AB11" authorId="0" shapeId="0">
      <text>
        <r>
          <rPr>
            <b/>
            <sz val="9"/>
            <color indexed="81"/>
            <rFont val="Tahoma"/>
            <family val="2"/>
          </rPr>
          <t>Tanya Cockman:</t>
        </r>
        <r>
          <rPr>
            <sz val="9"/>
            <color indexed="81"/>
            <rFont val="Tahoma"/>
            <family val="2"/>
          </rPr>
          <t xml:space="preserve">
$5K SS sponsorship moved from Sep/24.</t>
        </r>
      </text>
    </comment>
    <comment ref="AH11" authorId="0" shapeId="0">
      <text>
        <r>
          <rPr>
            <b/>
            <sz val="9"/>
            <color indexed="81"/>
            <rFont val="Tahoma"/>
            <family val="2"/>
          </rPr>
          <t>Tanya Cockman:</t>
        </r>
        <r>
          <rPr>
            <sz val="9"/>
            <color indexed="81"/>
            <rFont val="Tahoma"/>
            <family val="2"/>
          </rPr>
          <t xml:space="preserve">
$5K SS Sponsorship moved to Aug.
$1500 SS Sponsorship above budget.</t>
        </r>
      </text>
    </comment>
    <comment ref="AN11" authorId="0" shapeId="0">
      <text>
        <r>
          <rPr>
            <b/>
            <sz val="9"/>
            <color indexed="81"/>
            <rFont val="Tahoma"/>
            <family val="2"/>
          </rPr>
          <t>Tanya Cockman:</t>
        </r>
        <r>
          <rPr>
            <sz val="9"/>
            <color indexed="81"/>
            <rFont val="Tahoma"/>
            <family val="2"/>
          </rPr>
          <t xml:space="preserve">
SS Sponsorships above budget.</t>
        </r>
      </text>
    </comment>
    <comment ref="BY15" authorId="0" shapeId="0">
      <text>
        <r>
          <rPr>
            <b/>
            <sz val="9"/>
            <color indexed="81"/>
            <rFont val="Tahoma"/>
            <family val="2"/>
          </rPr>
          <t>Tanya Cockman:</t>
        </r>
        <r>
          <rPr>
            <sz val="9"/>
            <color indexed="81"/>
            <rFont val="Tahoma"/>
            <family val="2"/>
          </rPr>
          <t xml:space="preserve">
BUDGET numbers only, as changing</t>
        </r>
      </text>
    </comment>
    <comment ref="BZ15" authorId="0" shapeId="0">
      <text>
        <r>
          <rPr>
            <b/>
            <sz val="9"/>
            <color indexed="81"/>
            <rFont val="Tahoma"/>
            <family val="2"/>
          </rPr>
          <t>Tanya Cockman:</t>
        </r>
        <r>
          <rPr>
            <sz val="9"/>
            <color indexed="81"/>
            <rFont val="Tahoma"/>
            <family val="2"/>
          </rPr>
          <t xml:space="preserve">
YTD Actual + Future Rolling Budget</t>
        </r>
      </text>
    </comment>
  </commentList>
</comments>
</file>

<file path=xl/sharedStrings.xml><?xml version="1.0" encoding="utf-8"?>
<sst xmlns="http://schemas.openxmlformats.org/spreadsheetml/2006/main" count="442" uniqueCount="138">
  <si>
    <t>HOSPICE CALGARY SOCIETY</t>
  </si>
  <si>
    <t xml:space="preserve">Consolidated 2024-2025 Budget   </t>
  </si>
  <si>
    <t>Revenue</t>
  </si>
  <si>
    <t>Donations</t>
  </si>
  <si>
    <t>April</t>
  </si>
  <si>
    <t>May</t>
  </si>
  <si>
    <t>June</t>
  </si>
  <si>
    <t>July</t>
  </si>
  <si>
    <t>August</t>
  </si>
  <si>
    <t>Sept</t>
  </si>
  <si>
    <t>October</t>
  </si>
  <si>
    <t>Nov</t>
  </si>
  <si>
    <t>Dec</t>
  </si>
  <si>
    <t>Jan</t>
  </si>
  <si>
    <t>Feb</t>
  </si>
  <si>
    <t>Mar</t>
  </si>
  <si>
    <t>Totals</t>
  </si>
  <si>
    <t>Govt</t>
  </si>
  <si>
    <t>Donations General</t>
  </si>
  <si>
    <t>Misc Adm</t>
  </si>
  <si>
    <t>Donations Designated</t>
  </si>
  <si>
    <t>Serv fees</t>
  </si>
  <si>
    <t>Government Relations</t>
  </si>
  <si>
    <t>FD</t>
  </si>
  <si>
    <t>Memorials</t>
  </si>
  <si>
    <t>CL fees</t>
  </si>
  <si>
    <t>Memorials General</t>
  </si>
  <si>
    <t>*</t>
  </si>
  <si>
    <t>Memorials - Rosedale</t>
  </si>
  <si>
    <t>Memorials - Designated</t>
  </si>
  <si>
    <t>Grants  Foundations</t>
  </si>
  <si>
    <t>AHS RD Contract</t>
  </si>
  <si>
    <t>AH CGC Mental Health Contract</t>
  </si>
  <si>
    <t>FCSS Grant</t>
  </si>
  <si>
    <t>AH PEOLC Grant</t>
  </si>
  <si>
    <t>Cgy Foundation Grant</t>
  </si>
  <si>
    <t>Marketing &amp; Development Activities</t>
  </si>
  <si>
    <t>Direct Mail Campaign &amp; Giving Tues</t>
  </si>
  <si>
    <t>Special Events</t>
  </si>
  <si>
    <t>Casino</t>
  </si>
  <si>
    <t>Clinical &amp; Educational Services</t>
  </si>
  <si>
    <t>Program Fees</t>
  </si>
  <si>
    <t>Fees for Service</t>
  </si>
  <si>
    <t>Rosedale Meals</t>
  </si>
  <si>
    <t xml:space="preserve">Rosedale Rooms </t>
  </si>
  <si>
    <t>Specialty Workshops &amp; GmB</t>
  </si>
  <si>
    <t>Other Income</t>
  </si>
  <si>
    <t>o</t>
  </si>
  <si>
    <t>Hospice Calgary Internal Transfer</t>
  </si>
  <si>
    <t>Operations Deferred Revenue</t>
  </si>
  <si>
    <t>Total Revenue</t>
  </si>
  <si>
    <t>Expenses</t>
  </si>
  <si>
    <t>Oct</t>
  </si>
  <si>
    <t>March</t>
  </si>
  <si>
    <t>Total</t>
  </si>
  <si>
    <t>Payroll</t>
  </si>
  <si>
    <t>CPP</t>
  </si>
  <si>
    <t>EI</t>
  </si>
  <si>
    <t>RRSP</t>
  </si>
  <si>
    <t>Insurance</t>
  </si>
  <si>
    <t>WCB</t>
  </si>
  <si>
    <t>Professional fees</t>
  </si>
  <si>
    <t>Sage Sal &amp; ben</t>
  </si>
  <si>
    <t>Contract Services</t>
  </si>
  <si>
    <t>Accounting &amp; Audit</t>
  </si>
  <si>
    <t>Advertising</t>
  </si>
  <si>
    <t>Bank Charges</t>
  </si>
  <si>
    <t>Building Repairs &amp; Ground Maintenance</t>
  </si>
  <si>
    <t xml:space="preserve"> </t>
  </si>
  <si>
    <t>Computer Services</t>
  </si>
  <si>
    <t>Dues, Memberships- &amp; Subscriptions</t>
  </si>
  <si>
    <t>Education &amp; Conferences</t>
  </si>
  <si>
    <t>Employee Recognition</t>
  </si>
  <si>
    <t>Equipment - Rentals &amp; Maintenance</t>
  </si>
  <si>
    <t>Honorarium</t>
  </si>
  <si>
    <t>Internet</t>
  </si>
  <si>
    <t>Library</t>
  </si>
  <si>
    <t>Medical &amp; Pharmaceutical Supplies</t>
  </si>
  <si>
    <t>Miscellaneous</t>
  </si>
  <si>
    <t>Office Supplies</t>
  </si>
  <si>
    <t>Outside Services</t>
  </si>
  <si>
    <t>Postage/Courier</t>
  </si>
  <si>
    <t>Photocopying/Printing//Marketing Brochures</t>
  </si>
  <si>
    <t>Meeting Expenses</t>
  </si>
  <si>
    <t>Stewardship</t>
  </si>
  <si>
    <t>Supplies - Program Costs</t>
  </si>
  <si>
    <t>Supplies Food &amp; Dietary &amp; House</t>
  </si>
  <si>
    <t>Telephone/Fax</t>
  </si>
  <si>
    <t>Travel &amp; Parking</t>
  </si>
  <si>
    <t>Utilities</t>
  </si>
  <si>
    <t>Volunteer Training/Recognition</t>
  </si>
  <si>
    <t>Web site</t>
  </si>
  <si>
    <t>Total Expenses</t>
  </si>
  <si>
    <t>Net Surplus (Deficit)</t>
  </si>
  <si>
    <t>ADM</t>
  </si>
  <si>
    <t>FD  ADM Vol Cost Allocation</t>
  </si>
  <si>
    <t>Allocation of Adm FD &amp; Vol Costs</t>
  </si>
  <si>
    <t>FD &amp;VOL</t>
  </si>
  <si>
    <t xml:space="preserve">Rosedale </t>
  </si>
  <si>
    <t>Community Hospice</t>
  </si>
  <si>
    <t xml:space="preserve">CYFS </t>
  </si>
  <si>
    <t>Operational Cost Allocated to Programs</t>
  </si>
  <si>
    <t>Sal &amp; Ben</t>
  </si>
  <si>
    <t>Prog Cost With All</t>
  </si>
  <si>
    <t>ADM Sal &amp; Benefits ( Adm, FD &amp; MComm)</t>
  </si>
  <si>
    <t xml:space="preserve">CFGS </t>
  </si>
  <si>
    <t>Living with Advanced Illness</t>
  </si>
  <si>
    <t xml:space="preserve">Vol </t>
  </si>
  <si>
    <t>Rosedale ADM</t>
  </si>
  <si>
    <t>Rosedale Patient care</t>
  </si>
  <si>
    <t>REVENUE</t>
  </si>
  <si>
    <t xml:space="preserve">Donations  </t>
  </si>
  <si>
    <t>Contracts AHS RD</t>
  </si>
  <si>
    <t>Grants AHS LAIC</t>
  </si>
  <si>
    <t>Contracts AHS CGC</t>
  </si>
  <si>
    <t>Grants FCSS</t>
  </si>
  <si>
    <t>TOTAL REVENUE</t>
  </si>
  <si>
    <t>EXPENSES</t>
  </si>
  <si>
    <t>Professional Fees</t>
  </si>
  <si>
    <t>Operating Costs</t>
  </si>
  <si>
    <t>TOTAL EXPENSES</t>
  </si>
  <si>
    <t>NET SURPLUS(DEFICIT)</t>
  </si>
  <si>
    <t>2024-2025 Budget</t>
  </si>
  <si>
    <t>Original Budget</t>
  </si>
  <si>
    <t>Rolling Budget</t>
  </si>
  <si>
    <t>Foundations</t>
  </si>
  <si>
    <t>Grants FCSS CGC</t>
  </si>
  <si>
    <t>* Actual</t>
  </si>
  <si>
    <t>YTD Actual w/ Rolling Budget</t>
  </si>
  <si>
    <t xml:space="preserve">Actual </t>
  </si>
  <si>
    <t>Budget</t>
  </si>
  <si>
    <t>Forecast</t>
  </si>
  <si>
    <t>Forecast - Budget</t>
  </si>
  <si>
    <t>Actual - Budget</t>
  </si>
  <si>
    <t>Actual - Forecast</t>
  </si>
  <si>
    <t>Variance</t>
  </si>
  <si>
    <t>YTD Actual w/ Forecast</t>
  </si>
  <si>
    <t>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</si>
</sst>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$&quot;#,##0;\-&quot;$&quot;#,##0"/>
    <numFmt numFmtId="44" formatCode="_-&quot;$&quot;* #,##0.00_-;\-&quot;$&quot;* #,##0.00_-;_-&quot;$&quot;* &quot;-&quot;??_-;_-@_-"/>
    <numFmt numFmtId="164" formatCode="&quot;$&quot;#,##0_);\(&quot;$&quot;#,##0\)"/>
    <numFmt numFmtId="165" formatCode="_-&quot;$&quot;* #,##0_-;\-&quot;$&quot;* #,##0_-;_-&quot;$&quot;* &quot;-&quot;??_-;_-@_-"/>
  </numFmts>
  <fonts count="2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u/>
      <sz val="10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226">
    <xf numFmtId="0" fontId="0" fillId="0" borderId="0" xfId="0"/>
    <xf numFmtId="3" fontId="2" fillId="0" borderId="1" xfId="0" applyNumberFormat="1" applyFont="1" applyBorder="1"/>
    <xf numFmtId="3" fontId="2" fillId="0" borderId="2" xfId="0" applyNumberFormat="1" applyFont="1" applyBorder="1" applyAlignment="1">
      <alignment wrapText="1"/>
    </xf>
    <xf numFmtId="3" fontId="2" fillId="0" borderId="2" xfId="0" applyNumberFormat="1" applyFont="1" applyBorder="1"/>
    <xf numFmtId="3" fontId="2" fillId="0" borderId="0" xfId="0" applyNumberFormat="1" applyFont="1"/>
    <xf numFmtId="3" fontId="4" fillId="0" borderId="0" xfId="0" applyNumberFormat="1" applyFont="1" applyBorder="1"/>
    <xf numFmtId="3" fontId="4" fillId="0" borderId="0" xfId="0" applyNumberFormat="1" applyFont="1"/>
    <xf numFmtId="3" fontId="3" fillId="0" borderId="3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left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/>
    </xf>
    <xf numFmtId="3" fontId="2" fillId="0" borderId="3" xfId="0" quotePrefix="1" applyNumberFormat="1" applyFont="1" applyBorder="1" applyAlignment="1">
      <alignment horizontal="center" vertical="center"/>
    </xf>
    <xf numFmtId="3" fontId="2" fillId="0" borderId="3" xfId="0" applyNumberFormat="1" applyFont="1" applyBorder="1"/>
    <xf numFmtId="3" fontId="2" fillId="0" borderId="0" xfId="0" applyNumberFormat="1" applyFont="1" applyBorder="1"/>
    <xf numFmtId="3" fontId="4" fillId="0" borderId="3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left" wrapText="1"/>
    </xf>
    <xf numFmtId="3" fontId="4" fillId="0" borderId="3" xfId="0" applyNumberFormat="1" applyFont="1" applyFill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4" xfId="0" applyNumberFormat="1" applyFont="1" applyBorder="1"/>
    <xf numFmtId="3" fontId="2" fillId="0" borderId="4" xfId="0" applyNumberFormat="1" applyFont="1" applyBorder="1" applyAlignment="1">
      <alignment wrapText="1"/>
    </xf>
    <xf numFmtId="3" fontId="2" fillId="2" borderId="3" xfId="0" applyNumberFormat="1" applyFont="1" applyFill="1" applyBorder="1"/>
    <xf numFmtId="3" fontId="2" fillId="0" borderId="3" xfId="0" applyNumberFormat="1" applyFont="1" applyBorder="1" applyAlignment="1">
      <alignment wrapText="1"/>
    </xf>
    <xf numFmtId="3" fontId="7" fillId="3" borderId="3" xfId="0" applyNumberFormat="1" applyFont="1" applyFill="1" applyBorder="1"/>
    <xf numFmtId="3" fontId="7" fillId="0" borderId="0" xfId="0" applyNumberFormat="1" applyFont="1" applyBorder="1"/>
    <xf numFmtId="3" fontId="4" fillId="0" borderId="3" xfId="0" applyNumberFormat="1" applyFont="1" applyBorder="1" applyAlignment="1">
      <alignment wrapText="1"/>
    </xf>
    <xf numFmtId="3" fontId="2" fillId="0" borderId="3" xfId="0" applyNumberFormat="1" applyFont="1" applyFill="1" applyBorder="1"/>
    <xf numFmtId="3" fontId="7" fillId="0" borderId="3" xfId="0" applyNumberFormat="1" applyFont="1" applyBorder="1"/>
    <xf numFmtId="3" fontId="2" fillId="0" borderId="3" xfId="0" applyNumberFormat="1" applyFont="1" applyFill="1" applyBorder="1" applyAlignment="1">
      <alignment wrapText="1"/>
    </xf>
    <xf numFmtId="3" fontId="4" fillId="0" borderId="3" xfId="0" applyNumberFormat="1" applyFont="1" applyBorder="1"/>
    <xf numFmtId="3" fontId="4" fillId="0" borderId="3" xfId="0" applyNumberFormat="1" applyFont="1" applyFill="1" applyBorder="1"/>
    <xf numFmtId="3" fontId="2" fillId="3" borderId="3" xfId="0" applyNumberFormat="1" applyFont="1" applyFill="1" applyBorder="1"/>
    <xf numFmtId="0" fontId="0" fillId="0" borderId="0" xfId="0" applyBorder="1"/>
    <xf numFmtId="3" fontId="4" fillId="4" borderId="3" xfId="0" applyNumberFormat="1" applyFont="1" applyFill="1" applyBorder="1"/>
    <xf numFmtId="3" fontId="4" fillId="3" borderId="3" xfId="0" applyNumberFormat="1" applyFont="1" applyFill="1" applyBorder="1"/>
    <xf numFmtId="3" fontId="4" fillId="2" borderId="3" xfId="0" applyNumberFormat="1" applyFont="1" applyFill="1" applyBorder="1"/>
    <xf numFmtId="3" fontId="4" fillId="5" borderId="3" xfId="0" applyNumberFormat="1" applyFont="1" applyFill="1" applyBorder="1"/>
    <xf numFmtId="3" fontId="4" fillId="0" borderId="3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3" fontId="4" fillId="0" borderId="3" xfId="0" applyNumberFormat="1" applyFont="1" applyBorder="1" applyAlignment="1">
      <alignment horizontal="center" vertical="center"/>
    </xf>
    <xf numFmtId="3" fontId="2" fillId="0" borderId="0" xfId="0" applyNumberFormat="1" applyFont="1" applyFill="1" applyAlignment="1">
      <alignment vertical="center"/>
    </xf>
    <xf numFmtId="3" fontId="2" fillId="0" borderId="0" xfId="0" applyNumberFormat="1" applyFont="1" applyFill="1"/>
    <xf numFmtId="3" fontId="2" fillId="0" borderId="3" xfId="0" applyNumberFormat="1" applyFont="1" applyBorder="1" applyAlignment="1">
      <alignment horizontal="left" wrapText="1"/>
    </xf>
    <xf numFmtId="3" fontId="2" fillId="0" borderId="3" xfId="0" applyNumberFormat="1" applyFont="1" applyFill="1" applyBorder="1" applyAlignment="1">
      <alignment horizontal="left" wrapText="1"/>
    </xf>
    <xf numFmtId="3" fontId="8" fillId="0" borderId="0" xfId="0" applyNumberFormat="1" applyFont="1"/>
    <xf numFmtId="3" fontId="2" fillId="0" borderId="3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left" vertical="center" wrapText="1"/>
    </xf>
    <xf numFmtId="3" fontId="2" fillId="0" borderId="0" xfId="0" applyNumberFormat="1" applyFont="1" applyAlignment="1">
      <alignment horizontal="right" vertical="center"/>
    </xf>
    <xf numFmtId="3" fontId="2" fillId="0" borderId="3" xfId="0" applyNumberFormat="1" applyFont="1" applyBorder="1" applyAlignment="1">
      <alignment vertical="center"/>
    </xf>
    <xf numFmtId="3" fontId="2" fillId="0" borderId="3" xfId="0" applyNumberFormat="1" applyFont="1" applyBorder="1" applyAlignment="1">
      <alignment vertical="center" wrapText="1"/>
    </xf>
    <xf numFmtId="3" fontId="2" fillId="0" borderId="0" xfId="0" applyNumberFormat="1" applyFont="1" applyAlignment="1">
      <alignment vertical="center"/>
    </xf>
    <xf numFmtId="3" fontId="2" fillId="0" borderId="6" xfId="0" applyNumberFormat="1" applyFont="1" applyBorder="1"/>
    <xf numFmtId="3" fontId="4" fillId="0" borderId="4" xfId="0" applyNumberFormat="1" applyFont="1" applyBorder="1"/>
    <xf numFmtId="3" fontId="4" fillId="0" borderId="3" xfId="0" applyNumberFormat="1" applyFont="1" applyFill="1" applyBorder="1" applyAlignment="1">
      <alignment horizontal="left" vertical="center" wrapText="1"/>
    </xf>
    <xf numFmtId="3" fontId="4" fillId="0" borderId="4" xfId="0" applyNumberFormat="1" applyFont="1" applyFill="1" applyBorder="1" applyAlignment="1">
      <alignment horizontal="right" vertical="center"/>
    </xf>
    <xf numFmtId="3" fontId="4" fillId="0" borderId="3" xfId="0" applyNumberFormat="1" applyFont="1" applyFill="1" applyBorder="1" applyAlignment="1">
      <alignment horizontal="right" vertical="center"/>
    </xf>
    <xf numFmtId="3" fontId="4" fillId="6" borderId="3" xfId="0" applyNumberFormat="1" applyFont="1" applyFill="1" applyBorder="1" applyAlignment="1">
      <alignment wrapText="1"/>
    </xf>
    <xf numFmtId="3" fontId="4" fillId="6" borderId="6" xfId="0" applyNumberFormat="1" applyFont="1" applyFill="1" applyBorder="1" applyAlignment="1">
      <alignment wrapText="1"/>
    </xf>
    <xf numFmtId="3" fontId="4" fillId="0" borderId="6" xfId="0" applyNumberFormat="1" applyFont="1" applyFill="1" applyBorder="1" applyAlignment="1">
      <alignment horizontal="right" vertical="center"/>
    </xf>
    <xf numFmtId="3" fontId="4" fillId="6" borderId="7" xfId="0" applyNumberFormat="1" applyFont="1" applyFill="1" applyBorder="1" applyAlignment="1">
      <alignment vertical="center" wrapText="1"/>
    </xf>
    <xf numFmtId="3" fontId="4" fillId="0" borderId="8" xfId="0" applyNumberFormat="1" applyFont="1" applyFill="1" applyBorder="1" applyAlignment="1">
      <alignment horizontal="right" vertical="center"/>
    </xf>
    <xf numFmtId="3" fontId="4" fillId="0" borderId="9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left"/>
    </xf>
    <xf numFmtId="5" fontId="11" fillId="0" borderId="10" xfId="1" applyNumberFormat="1" applyFont="1" applyBorder="1" applyAlignment="1">
      <alignment horizontal="right"/>
    </xf>
    <xf numFmtId="5" fontId="11" fillId="0" borderId="0" xfId="1" applyNumberFormat="1" applyFont="1" applyAlignment="1">
      <alignment horizontal="right"/>
    </xf>
    <xf numFmtId="0" fontId="0" fillId="0" borderId="0" xfId="0" applyFill="1"/>
    <xf numFmtId="5" fontId="11" fillId="0" borderId="0" xfId="1" applyNumberFormat="1" applyFont="1" applyFill="1" applyAlignment="1">
      <alignment horizontal="right"/>
    </xf>
    <xf numFmtId="17" fontId="12" fillId="0" borderId="0" xfId="0" applyNumberFormat="1" applyFont="1"/>
    <xf numFmtId="0" fontId="0" fillId="0" borderId="0" xfId="0" applyFont="1"/>
    <xf numFmtId="0" fontId="13" fillId="0" borderId="0" xfId="0" quotePrefix="1" applyFont="1" applyAlignment="1"/>
    <xf numFmtId="0" fontId="0" fillId="7" borderId="0" xfId="0" applyFont="1" applyFill="1"/>
    <xf numFmtId="0" fontId="11" fillId="0" borderId="0" xfId="0" quotePrefix="1" applyFont="1" applyAlignment="1">
      <alignment horizontal="left"/>
    </xf>
    <xf numFmtId="164" fontId="11" fillId="0" borderId="0" xfId="0" applyNumberFormat="1" applyFont="1" applyAlignment="1">
      <alignment horizontal="right"/>
    </xf>
    <xf numFmtId="164" fontId="11" fillId="7" borderId="0" xfId="0" applyNumberFormat="1" applyFont="1" applyFill="1" applyAlignment="1">
      <alignment horizontal="right"/>
    </xf>
    <xf numFmtId="164" fontId="11" fillId="0" borderId="0" xfId="0" applyNumberFormat="1" applyFont="1" applyFill="1" applyAlignment="1">
      <alignment horizontal="right"/>
    </xf>
    <xf numFmtId="164" fontId="11" fillId="0" borderId="0" xfId="0" applyNumberFormat="1" applyFont="1" applyBorder="1" applyAlignment="1">
      <alignment horizontal="right"/>
    </xf>
    <xf numFmtId="164" fontId="11" fillId="7" borderId="0" xfId="0" applyNumberFormat="1" applyFont="1" applyFill="1" applyBorder="1" applyAlignment="1">
      <alignment horizontal="right"/>
    </xf>
    <xf numFmtId="0" fontId="0" fillId="0" borderId="0" xfId="0" applyFont="1" applyFill="1"/>
    <xf numFmtId="0" fontId="13" fillId="0" borderId="11" xfId="0" quotePrefix="1" applyFont="1" applyBorder="1" applyAlignment="1">
      <alignment horizontal="left"/>
    </xf>
    <xf numFmtId="164" fontId="13" fillId="0" borderId="11" xfId="0" applyNumberFormat="1" applyFont="1" applyBorder="1" applyAlignment="1">
      <alignment horizontal="right"/>
    </xf>
    <xf numFmtId="164" fontId="13" fillId="7" borderId="11" xfId="0" applyNumberFormat="1" applyFont="1" applyFill="1" applyBorder="1" applyAlignment="1">
      <alignment horizontal="right"/>
    </xf>
    <xf numFmtId="164" fontId="13" fillId="0" borderId="0" xfId="0" applyNumberFormat="1" applyFont="1" applyBorder="1" applyAlignment="1">
      <alignment horizontal="right"/>
    </xf>
    <xf numFmtId="164" fontId="13" fillId="0" borderId="0" xfId="0" applyNumberFormat="1" applyFont="1" applyFill="1" applyBorder="1" applyAlignment="1">
      <alignment horizontal="right"/>
    </xf>
    <xf numFmtId="0" fontId="0" fillId="0" borderId="0" xfId="0" applyFont="1" applyBorder="1"/>
    <xf numFmtId="0" fontId="11" fillId="0" borderId="0" xfId="0" applyFont="1" applyAlignment="1"/>
    <xf numFmtId="0" fontId="0" fillId="0" borderId="0" xfId="0" applyFont="1" applyFill="1" applyBorder="1"/>
    <xf numFmtId="0" fontId="11" fillId="0" borderId="10" xfId="0" quotePrefix="1" applyFont="1" applyBorder="1" applyAlignment="1">
      <alignment horizontal="left"/>
    </xf>
    <xf numFmtId="164" fontId="11" fillId="0" borderId="10" xfId="0" applyNumberFormat="1" applyFont="1" applyFill="1" applyBorder="1" applyAlignment="1">
      <alignment horizontal="right"/>
    </xf>
    <xf numFmtId="164" fontId="11" fillId="7" borderId="10" xfId="0" applyNumberFormat="1" applyFont="1" applyFill="1" applyBorder="1" applyAlignment="1">
      <alignment horizontal="right"/>
    </xf>
    <xf numFmtId="164" fontId="11" fillId="0" borderId="10" xfId="0" applyNumberFormat="1" applyFont="1" applyBorder="1" applyAlignment="1">
      <alignment horizontal="right"/>
    </xf>
    <xf numFmtId="164" fontId="13" fillId="0" borderId="11" xfId="0" applyNumberFormat="1" applyFont="1" applyFill="1" applyBorder="1" applyAlignment="1">
      <alignment horizontal="right"/>
    </xf>
    <xf numFmtId="164" fontId="13" fillId="0" borderId="10" xfId="0" applyNumberFormat="1" applyFont="1" applyBorder="1" applyAlignment="1">
      <alignment horizontal="right"/>
    </xf>
    <xf numFmtId="164" fontId="13" fillId="7" borderId="10" xfId="0" applyNumberFormat="1" applyFont="1" applyFill="1" applyBorder="1" applyAlignment="1">
      <alignment horizontal="right"/>
    </xf>
    <xf numFmtId="0" fontId="3" fillId="0" borderId="0" xfId="0" applyFont="1"/>
    <xf numFmtId="0" fontId="12" fillId="0" borderId="0" xfId="0" applyFont="1" applyFill="1"/>
    <xf numFmtId="5" fontId="13" fillId="0" borderId="11" xfId="1" applyNumberFormat="1" applyFont="1" applyBorder="1" applyAlignment="1">
      <alignment horizontal="right"/>
    </xf>
    <xf numFmtId="164" fontId="13" fillId="0" borderId="10" xfId="0" applyNumberFormat="1" applyFont="1" applyFill="1" applyBorder="1" applyAlignment="1">
      <alignment horizontal="right"/>
    </xf>
    <xf numFmtId="0" fontId="11" fillId="0" borderId="0" xfId="0" applyFont="1" applyFill="1" applyAlignment="1"/>
    <xf numFmtId="0" fontId="13" fillId="0" borderId="0" xfId="0" quotePrefix="1" applyFont="1" applyFill="1" applyAlignment="1"/>
    <xf numFmtId="0" fontId="14" fillId="0" borderId="0" xfId="0" applyFont="1"/>
    <xf numFmtId="17" fontId="14" fillId="0" borderId="0" xfId="0" applyNumberFormat="1" applyFont="1"/>
    <xf numFmtId="17" fontId="14" fillId="7" borderId="0" xfId="0" applyNumberFormat="1" applyFont="1" applyFill="1"/>
    <xf numFmtId="0" fontId="16" fillId="0" borderId="0" xfId="0" applyFont="1"/>
    <xf numFmtId="0" fontId="17" fillId="0" borderId="0" xfId="0" quotePrefix="1" applyFont="1" applyAlignment="1">
      <alignment horizontal="left"/>
    </xf>
    <xf numFmtId="0" fontId="17" fillId="0" borderId="0" xfId="0" applyFont="1" applyAlignment="1">
      <alignment horizontal="left"/>
    </xf>
    <xf numFmtId="0" fontId="15" fillId="0" borderId="11" xfId="0" quotePrefix="1" applyFont="1" applyBorder="1" applyAlignment="1">
      <alignment horizontal="left"/>
    </xf>
    <xf numFmtId="164" fontId="16" fillId="0" borderId="0" xfId="0" applyNumberFormat="1" applyFont="1" applyBorder="1" applyAlignment="1">
      <alignment horizontal="center"/>
    </xf>
    <xf numFmtId="164" fontId="16" fillId="0" borderId="16" xfId="0" applyNumberFormat="1" applyFont="1" applyBorder="1" applyAlignment="1">
      <alignment horizontal="center"/>
    </xf>
    <xf numFmtId="165" fontId="15" fillId="0" borderId="18" xfId="2" quotePrefix="1" applyNumberFormat="1" applyFont="1" applyBorder="1" applyAlignment="1">
      <alignment horizontal="center"/>
    </xf>
    <xf numFmtId="165" fontId="15" fillId="0" borderId="19" xfId="2" quotePrefix="1" applyNumberFormat="1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164" fontId="18" fillId="0" borderId="15" xfId="0" applyNumberFormat="1" applyFont="1" applyBorder="1" applyAlignment="1">
      <alignment horizontal="center"/>
    </xf>
    <xf numFmtId="164" fontId="18" fillId="0" borderId="0" xfId="0" applyNumberFormat="1" applyFont="1" applyBorder="1" applyAlignment="1">
      <alignment horizontal="center"/>
    </xf>
    <xf numFmtId="165" fontId="19" fillId="0" borderId="17" xfId="2" quotePrefix="1" applyNumberFormat="1" applyFont="1" applyBorder="1" applyAlignment="1">
      <alignment horizontal="center"/>
    </xf>
    <xf numFmtId="165" fontId="19" fillId="0" borderId="18" xfId="2" quotePrefix="1" applyNumberFormat="1" applyFont="1" applyBorder="1" applyAlignment="1">
      <alignment horizontal="center"/>
    </xf>
    <xf numFmtId="165" fontId="19" fillId="0" borderId="19" xfId="2" quotePrefix="1" applyNumberFormat="1" applyFont="1" applyBorder="1" applyAlignment="1">
      <alignment horizontal="center"/>
    </xf>
    <xf numFmtId="164" fontId="20" fillId="0" borderId="0" xfId="0" applyNumberFormat="1" applyFont="1" applyBorder="1" applyAlignment="1">
      <alignment horizontal="center"/>
    </xf>
    <xf numFmtId="165" fontId="21" fillId="0" borderId="18" xfId="2" quotePrefix="1" applyNumberFormat="1" applyFont="1" applyBorder="1" applyAlignment="1">
      <alignment horizontal="center"/>
    </xf>
    <xf numFmtId="164" fontId="20" fillId="0" borderId="16" xfId="0" applyNumberFormat="1" applyFont="1" applyBorder="1" applyAlignment="1">
      <alignment horizontal="center"/>
    </xf>
    <xf numFmtId="165" fontId="21" fillId="0" borderId="19" xfId="2" quotePrefix="1" applyNumberFormat="1" applyFont="1" applyBorder="1" applyAlignment="1">
      <alignment horizontal="center"/>
    </xf>
    <xf numFmtId="165" fontId="15" fillId="0" borderId="0" xfId="2" quotePrefix="1" applyNumberFormat="1" applyFont="1" applyBorder="1" applyAlignment="1">
      <alignment horizontal="center"/>
    </xf>
    <xf numFmtId="165" fontId="21" fillId="0" borderId="0" xfId="2" quotePrefix="1" applyNumberFormat="1" applyFont="1" applyBorder="1" applyAlignment="1">
      <alignment horizontal="center"/>
    </xf>
    <xf numFmtId="165" fontId="19" fillId="0" borderId="0" xfId="2" quotePrefix="1" applyNumberFormat="1" applyFont="1" applyBorder="1" applyAlignment="1">
      <alignment horizontal="center"/>
    </xf>
    <xf numFmtId="0" fontId="16" fillId="7" borderId="14" xfId="0" applyFont="1" applyFill="1" applyBorder="1" applyAlignment="1">
      <alignment horizontal="center"/>
    </xf>
    <xf numFmtId="164" fontId="16" fillId="7" borderId="16" xfId="0" applyNumberFormat="1" applyFont="1" applyFill="1" applyBorder="1" applyAlignment="1">
      <alignment horizontal="center"/>
    </xf>
    <xf numFmtId="165" fontId="15" fillId="7" borderId="18" xfId="2" quotePrefix="1" applyNumberFormat="1" applyFont="1" applyFill="1" applyBorder="1" applyAlignment="1">
      <alignment horizontal="center"/>
    </xf>
    <xf numFmtId="165" fontId="15" fillId="7" borderId="19" xfId="2" quotePrefix="1" applyNumberFormat="1" applyFont="1" applyFill="1" applyBorder="1" applyAlignment="1">
      <alignment horizontal="center"/>
    </xf>
    <xf numFmtId="165" fontId="15" fillId="0" borderId="0" xfId="2" quotePrefix="1" applyNumberFormat="1" applyFont="1" applyFill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7" borderId="14" xfId="0" applyFont="1" applyFill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7" borderId="23" xfId="0" applyFont="1" applyFill="1" applyBorder="1" applyAlignment="1">
      <alignment horizontal="center"/>
    </xf>
    <xf numFmtId="0" fontId="18" fillId="0" borderId="22" xfId="0" applyFont="1" applyBorder="1" applyAlignment="1">
      <alignment horizontal="center" wrapText="1"/>
    </xf>
    <xf numFmtId="0" fontId="18" fillId="0" borderId="24" xfId="0" applyFont="1" applyBorder="1" applyAlignment="1">
      <alignment horizontal="center" wrapText="1"/>
    </xf>
    <xf numFmtId="0" fontId="18" fillId="0" borderId="26" xfId="0" applyFont="1" applyBorder="1" applyAlignment="1">
      <alignment horizontal="center"/>
    </xf>
    <xf numFmtId="0" fontId="18" fillId="0" borderId="27" xfId="0" applyFont="1" applyBorder="1" applyAlignment="1">
      <alignment horizontal="center" wrapText="1"/>
    </xf>
    <xf numFmtId="164" fontId="18" fillId="0" borderId="28" xfId="0" applyNumberFormat="1" applyFont="1" applyBorder="1" applyAlignment="1">
      <alignment horizontal="center"/>
    </xf>
    <xf numFmtId="165" fontId="19" fillId="0" borderId="29" xfId="2" quotePrefix="1" applyNumberFormat="1" applyFont="1" applyBorder="1" applyAlignment="1">
      <alignment horizontal="center"/>
    </xf>
    <xf numFmtId="165" fontId="19" fillId="0" borderId="28" xfId="2" quotePrefix="1" applyNumberFormat="1" applyFont="1" applyBorder="1" applyAlignment="1">
      <alignment horizontal="center"/>
    </xf>
    <xf numFmtId="0" fontId="16" fillId="0" borderId="32" xfId="0" applyFont="1" applyBorder="1"/>
    <xf numFmtId="0" fontId="16" fillId="0" borderId="33" xfId="0" applyFont="1" applyBorder="1"/>
    <xf numFmtId="0" fontId="15" fillId="0" borderId="34" xfId="0" quotePrefix="1" applyFont="1" applyBorder="1" applyAlignment="1"/>
    <xf numFmtId="0" fontId="17" fillId="0" borderId="34" xfId="0" quotePrefix="1" applyFont="1" applyBorder="1" applyAlignment="1">
      <alignment horizontal="left"/>
    </xf>
    <xf numFmtId="0" fontId="17" fillId="0" borderId="34" xfId="0" applyFont="1" applyBorder="1" applyAlignment="1">
      <alignment horizontal="left"/>
    </xf>
    <xf numFmtId="0" fontId="17" fillId="0" borderId="35" xfId="0" quotePrefix="1" applyFont="1" applyBorder="1" applyAlignment="1">
      <alignment horizontal="left"/>
    </xf>
    <xf numFmtId="0" fontId="17" fillId="0" borderId="33" xfId="0" applyFont="1" applyBorder="1" applyAlignment="1"/>
    <xf numFmtId="165" fontId="15" fillId="0" borderId="21" xfId="2" quotePrefix="1" applyNumberFormat="1" applyFont="1" applyBorder="1" applyAlignment="1">
      <alignment horizontal="center"/>
    </xf>
    <xf numFmtId="165" fontId="21" fillId="0" borderId="21" xfId="2" quotePrefix="1" applyNumberFormat="1" applyFont="1" applyBorder="1" applyAlignment="1">
      <alignment horizontal="center"/>
    </xf>
    <xf numFmtId="165" fontId="15" fillId="7" borderId="21" xfId="2" quotePrefix="1" applyNumberFormat="1" applyFont="1" applyFill="1" applyBorder="1" applyAlignment="1">
      <alignment horizontal="center"/>
    </xf>
    <xf numFmtId="165" fontId="19" fillId="0" borderId="21" xfId="2" quotePrefix="1" applyNumberFormat="1" applyFont="1" applyBorder="1" applyAlignment="1">
      <alignment horizontal="center"/>
    </xf>
    <xf numFmtId="165" fontId="19" fillId="0" borderId="37" xfId="2" quotePrefix="1" applyNumberFormat="1" applyFont="1" applyBorder="1" applyAlignment="1">
      <alignment horizontal="center"/>
    </xf>
    <xf numFmtId="164" fontId="20" fillId="0" borderId="14" xfId="0" applyNumberFormat="1" applyFont="1" applyBorder="1" applyAlignment="1">
      <alignment horizontal="center"/>
    </xf>
    <xf numFmtId="164" fontId="16" fillId="7" borderId="14" xfId="0" applyNumberFormat="1" applyFont="1" applyFill="1" applyBorder="1" applyAlignment="1">
      <alignment horizontal="center"/>
    </xf>
    <xf numFmtId="164" fontId="18" fillId="0" borderId="12" xfId="0" applyNumberFormat="1" applyFont="1" applyBorder="1" applyAlignment="1">
      <alignment horizontal="center"/>
    </xf>
    <xf numFmtId="164" fontId="18" fillId="0" borderId="13" xfId="0" applyNumberFormat="1" applyFont="1" applyBorder="1" applyAlignment="1">
      <alignment horizontal="center"/>
    </xf>
    <xf numFmtId="164" fontId="18" fillId="0" borderId="26" xfId="0" applyNumberFormat="1" applyFont="1" applyBorder="1" applyAlignment="1">
      <alignment horizontal="center"/>
    </xf>
    <xf numFmtId="164" fontId="16" fillId="0" borderId="13" xfId="0" applyNumberFormat="1" applyFont="1" applyBorder="1" applyAlignment="1">
      <alignment horizontal="center"/>
    </xf>
    <xf numFmtId="164" fontId="16" fillId="7" borderId="38" xfId="0" applyNumberFormat="1" applyFont="1" applyFill="1" applyBorder="1" applyAlignment="1">
      <alignment horizontal="center"/>
    </xf>
    <xf numFmtId="164" fontId="16" fillId="0" borderId="33" xfId="0" applyNumberFormat="1" applyFont="1" applyBorder="1" applyAlignment="1">
      <alignment horizontal="center"/>
    </xf>
    <xf numFmtId="164" fontId="16" fillId="0" borderId="34" xfId="0" applyNumberFormat="1" applyFont="1" applyBorder="1" applyAlignment="1">
      <alignment horizontal="center"/>
    </xf>
    <xf numFmtId="164" fontId="16" fillId="0" borderId="36" xfId="0" applyNumberFormat="1" applyFont="1" applyBorder="1" applyAlignment="1">
      <alignment horizontal="center"/>
    </xf>
    <xf numFmtId="164" fontId="20" fillId="0" borderId="13" xfId="0" applyNumberFormat="1" applyFont="1" applyBorder="1" applyAlignment="1">
      <alignment horizontal="center"/>
    </xf>
    <xf numFmtId="164" fontId="20" fillId="0" borderId="10" xfId="0" applyNumberFormat="1" applyFont="1" applyBorder="1" applyAlignment="1">
      <alignment horizontal="center"/>
    </xf>
    <xf numFmtId="0" fontId="16" fillId="0" borderId="34" xfId="0" applyFont="1" applyBorder="1"/>
    <xf numFmtId="0" fontId="16" fillId="0" borderId="0" xfId="0" applyFont="1" applyBorder="1"/>
    <xf numFmtId="0" fontId="16" fillId="0" borderId="28" xfId="0" applyFont="1" applyBorder="1"/>
    <xf numFmtId="0" fontId="23" fillId="0" borderId="34" xfId="0" applyFont="1" applyBorder="1"/>
    <xf numFmtId="0" fontId="23" fillId="0" borderId="0" xfId="0" applyFont="1" applyBorder="1"/>
    <xf numFmtId="0" fontId="23" fillId="0" borderId="28" xfId="0" applyFont="1" applyBorder="1"/>
    <xf numFmtId="164" fontId="16" fillId="0" borderId="34" xfId="0" applyNumberFormat="1" applyFont="1" applyBorder="1"/>
    <xf numFmtId="164" fontId="16" fillId="0" borderId="0" xfId="0" applyNumberFormat="1" applyFont="1" applyBorder="1"/>
    <xf numFmtId="164" fontId="16" fillId="0" borderId="28" xfId="0" applyNumberFormat="1" applyFont="1" applyBorder="1"/>
    <xf numFmtId="165" fontId="15" fillId="0" borderId="32" xfId="2" quotePrefix="1" applyNumberFormat="1" applyFont="1" applyBorder="1" applyAlignment="1">
      <alignment horizontal="center"/>
    </xf>
    <xf numFmtId="165" fontId="15" fillId="0" borderId="29" xfId="2" quotePrefix="1" applyNumberFormat="1" applyFont="1" applyBorder="1" applyAlignment="1">
      <alignment horizontal="center"/>
    </xf>
    <xf numFmtId="165" fontId="15" fillId="0" borderId="39" xfId="2" quotePrefix="1" applyNumberFormat="1" applyFont="1" applyBorder="1" applyAlignment="1">
      <alignment horizontal="center"/>
    </xf>
    <xf numFmtId="165" fontId="15" fillId="0" borderId="40" xfId="2" quotePrefix="1" applyNumberFormat="1" applyFont="1" applyBorder="1" applyAlignment="1">
      <alignment horizontal="center"/>
    </xf>
    <xf numFmtId="165" fontId="15" fillId="0" borderId="37" xfId="2" quotePrefix="1" applyNumberFormat="1" applyFont="1" applyBorder="1" applyAlignment="1">
      <alignment horizontal="center"/>
    </xf>
    <xf numFmtId="0" fontId="15" fillId="0" borderId="0" xfId="0" quotePrefix="1" applyFont="1" applyFill="1" applyBorder="1" applyAlignment="1">
      <alignment horizontal="left"/>
    </xf>
    <xf numFmtId="0" fontId="16" fillId="0" borderId="0" xfId="0" applyFont="1" applyFill="1" applyBorder="1"/>
    <xf numFmtId="0" fontId="15" fillId="0" borderId="0" xfId="0" quotePrefix="1" applyFont="1" applyFill="1" applyBorder="1" applyAlignment="1"/>
    <xf numFmtId="0" fontId="17" fillId="0" borderId="0" xfId="0" quotePrefix="1" applyFont="1" applyFill="1" applyBorder="1" applyAlignment="1">
      <alignment horizontal="left"/>
    </xf>
    <xf numFmtId="0" fontId="17" fillId="0" borderId="0" xfId="0" applyFont="1" applyFill="1" applyBorder="1" applyAlignment="1">
      <alignment horizontal="left"/>
    </xf>
    <xf numFmtId="0" fontId="17" fillId="0" borderId="0" xfId="0" applyFont="1" applyFill="1" applyBorder="1" applyAlignment="1"/>
    <xf numFmtId="164" fontId="0" fillId="0" borderId="0" xfId="0" applyNumberFormat="1" applyFont="1"/>
    <xf numFmtId="0" fontId="16" fillId="0" borderId="20" xfId="0" applyFont="1" applyBorder="1"/>
    <xf numFmtId="0" fontId="16" fillId="0" borderId="30" xfId="0" applyFont="1" applyBorder="1"/>
    <xf numFmtId="0" fontId="16" fillId="0" borderId="31" xfId="0" applyFont="1" applyBorder="1"/>
    <xf numFmtId="0" fontId="16" fillId="0" borderId="2" xfId="0" applyFont="1" applyBorder="1"/>
    <xf numFmtId="0" fontId="16" fillId="0" borderId="25" xfId="0" applyFont="1" applyBorder="1"/>
    <xf numFmtId="0" fontId="23" fillId="0" borderId="35" xfId="0" applyFont="1" applyBorder="1"/>
    <xf numFmtId="0" fontId="23" fillId="0" borderId="24" xfId="0" applyFont="1" applyBorder="1"/>
    <xf numFmtId="0" fontId="23" fillId="0" borderId="27" xfId="0" applyFont="1" applyBorder="1"/>
    <xf numFmtId="0" fontId="15" fillId="0" borderId="37" xfId="0" quotePrefix="1" applyFont="1" applyBorder="1" applyAlignment="1">
      <alignment horizontal="left"/>
    </xf>
    <xf numFmtId="0" fontId="16" fillId="0" borderId="29" xfId="0" applyFont="1" applyBorder="1"/>
    <xf numFmtId="0" fontId="16" fillId="0" borderId="26" xfId="0" applyFont="1" applyBorder="1"/>
    <xf numFmtId="0" fontId="15" fillId="0" borderId="28" xfId="0" quotePrefix="1" applyFont="1" applyBorder="1" applyAlignment="1"/>
    <xf numFmtId="0" fontId="17" fillId="0" borderId="28" xfId="0" applyFont="1" applyBorder="1" applyAlignment="1">
      <alignment horizontal="left"/>
    </xf>
    <xf numFmtId="0" fontId="17" fillId="0" borderId="28" xfId="0" quotePrefix="1" applyFont="1" applyBorder="1" applyAlignment="1">
      <alignment horizontal="left"/>
    </xf>
    <xf numFmtId="0" fontId="15" fillId="0" borderId="29" xfId="0" quotePrefix="1" applyFont="1" applyBorder="1" applyAlignment="1">
      <alignment horizontal="left"/>
    </xf>
    <xf numFmtId="0" fontId="15" fillId="0" borderId="28" xfId="0" quotePrefix="1" applyFont="1" applyBorder="1" applyAlignment="1">
      <alignment horizontal="left"/>
    </xf>
    <xf numFmtId="0" fontId="17" fillId="0" borderId="26" xfId="0" applyFont="1" applyBorder="1" applyAlignment="1"/>
    <xf numFmtId="0" fontId="17" fillId="0" borderId="41" xfId="0" quotePrefix="1" applyFont="1" applyBorder="1" applyAlignment="1">
      <alignment horizontal="left"/>
    </xf>
    <xf numFmtId="165" fontId="15" fillId="0" borderId="9" xfId="2" quotePrefix="1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0" fillId="0" borderId="2" xfId="0" applyBorder="1" applyAlignment="1"/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wrapText="1"/>
    </xf>
    <xf numFmtId="0" fontId="0" fillId="0" borderId="5" xfId="0" applyBorder="1" applyAlignment="1"/>
    <xf numFmtId="0" fontId="13" fillId="0" borderId="10" xfId="0" quotePrefix="1" applyFont="1" applyBorder="1" applyAlignment="1">
      <alignment horizontal="left"/>
    </xf>
    <xf numFmtId="17" fontId="16" fillId="0" borderId="18" xfId="0" applyNumberFormat="1" applyFont="1" applyBorder="1" applyAlignment="1">
      <alignment horizontal="center"/>
    </xf>
    <xf numFmtId="17" fontId="16" fillId="0" borderId="29" xfId="0" applyNumberFormat="1" applyFont="1" applyBorder="1" applyAlignment="1">
      <alignment horizontal="center"/>
    </xf>
    <xf numFmtId="17" fontId="16" fillId="0" borderId="20" xfId="0" applyNumberFormat="1" applyFont="1" applyBorder="1" applyAlignment="1">
      <alignment horizontal="center"/>
    </xf>
    <xf numFmtId="17" fontId="16" fillId="0" borderId="30" xfId="0" applyNumberFormat="1" applyFont="1" applyBorder="1" applyAlignment="1">
      <alignment horizontal="center"/>
    </xf>
    <xf numFmtId="0" fontId="15" fillId="0" borderId="0" xfId="0" quotePrefix="1" applyFont="1" applyFill="1" applyBorder="1" applyAlignment="1">
      <alignment horizontal="left"/>
    </xf>
    <xf numFmtId="0" fontId="16" fillId="0" borderId="32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17" fontId="16" fillId="0" borderId="32" xfId="0" applyNumberFormat="1" applyFont="1" applyBorder="1" applyAlignment="1">
      <alignment horizontal="center"/>
    </xf>
    <xf numFmtId="0" fontId="15" fillId="0" borderId="36" xfId="0" quotePrefix="1" applyFont="1" applyBorder="1" applyAlignment="1">
      <alignment horizontal="left"/>
    </xf>
    <xf numFmtId="0" fontId="15" fillId="0" borderId="10" xfId="0" quotePrefix="1" applyFont="1" applyBorder="1" applyAlignment="1">
      <alignment horizontal="left"/>
    </xf>
  </cellXfs>
  <cellStyles count="3">
    <cellStyle name="Currency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Finance/Finance%20Officer/Budget/2-Budget%202024-2025/APPROVED%202024-2025%20Budget%20prep%20work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ification (2)"/>
      <sheetName val="Verification"/>
      <sheetName val="Consolidated"/>
      <sheetName val="ADM"/>
      <sheetName val="CGC"/>
      <sheetName val="LAIC"/>
      <sheetName val="Vol"/>
      <sheetName val="Rosedale ADM"/>
      <sheetName val="Rosedale PC"/>
      <sheetName val="MComm"/>
      <sheetName val="FD ADM"/>
      <sheetName val="Direct Mail"/>
      <sheetName val="Newsletter"/>
      <sheetName val="Sage Soiree"/>
      <sheetName val="Hike for Hospice"/>
      <sheetName val="3rd Party Events"/>
      <sheetName val="Casino"/>
      <sheetName val="Sal 2% incr"/>
      <sheetName val="House 21 22"/>
      <sheetName val="Patient 21 22"/>
      <sheetName val="Sage Salaries 21 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4">
          <cell r="T34">
            <v>328177.35078439995</v>
          </cell>
        </row>
      </sheetData>
      <sheetData sheetId="8">
        <row r="58">
          <cell r="T58">
            <v>1708005.7471436001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Q91"/>
  <sheetViews>
    <sheetView zoomScaleNormal="100" workbookViewId="0">
      <pane xSplit="2" topLeftCell="C1" activePane="topRight" state="frozen"/>
      <selection activeCell="B38" sqref="B38"/>
      <selection pane="topRight" activeCell="B32" sqref="B32"/>
    </sheetView>
  </sheetViews>
  <sheetFormatPr defaultColWidth="9.140625" defaultRowHeight="12.75" x14ac:dyDescent="0.2"/>
  <cols>
    <col min="1" max="1" width="2.7109375" style="12" customWidth="1"/>
    <col min="2" max="2" width="39.85546875" style="22" customWidth="1"/>
    <col min="3" max="3" width="9.42578125" style="12" customWidth="1"/>
    <col min="4" max="4" width="10.85546875" style="12" customWidth="1"/>
    <col min="5" max="5" width="9.42578125" style="12" customWidth="1"/>
    <col min="6" max="7" width="10.85546875" style="12" bestFit="1" customWidth="1"/>
    <col min="8" max="8" width="11.140625" style="12" bestFit="1" customWidth="1"/>
    <col min="9" max="9" width="11.5703125" style="12" bestFit="1" customWidth="1"/>
    <col min="10" max="10" width="10.28515625" style="12" customWidth="1"/>
    <col min="11" max="11" width="10.85546875" style="12" bestFit="1" customWidth="1"/>
    <col min="12" max="12" width="11.28515625" style="12" bestFit="1" customWidth="1"/>
    <col min="13" max="13" width="11.5703125" style="12" bestFit="1" customWidth="1"/>
    <col min="14" max="14" width="10.42578125" style="12" customWidth="1"/>
    <col min="15" max="15" width="10.85546875" style="12" bestFit="1" customWidth="1"/>
    <col min="16" max="16" width="4.7109375" style="12" customWidth="1"/>
    <col min="17" max="17" width="13.28515625" style="12" bestFit="1" customWidth="1"/>
    <col min="18" max="18" width="9.85546875" style="4" bestFit="1" customWidth="1"/>
    <col min="19" max="19" width="9.140625" style="4"/>
    <col min="20" max="20" width="12" style="4" customWidth="1"/>
    <col min="21" max="16384" width="9.140625" style="4"/>
  </cols>
  <sheetData>
    <row r="1" spans="1:43" x14ac:dyDescent="0.2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43" s="6" customFormat="1" ht="15.75" x14ac:dyDescent="0.25">
      <c r="A2" s="207" t="s">
        <v>0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9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</row>
    <row r="3" spans="1:43" s="6" customFormat="1" ht="14.25" customHeight="1" x14ac:dyDescent="0.2">
      <c r="A3" s="210" t="s">
        <v>1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09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</row>
    <row r="4" spans="1:43" s="12" customFormat="1" ht="30.75" customHeight="1" x14ac:dyDescent="0.2">
      <c r="A4" s="7"/>
      <c r="B4" s="8" t="s">
        <v>2</v>
      </c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/>
      <c r="P4" s="10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</row>
    <row r="5" spans="1:43" s="18" customFormat="1" x14ac:dyDescent="0.2">
      <c r="A5" s="14"/>
      <c r="B5" s="15" t="s">
        <v>3</v>
      </c>
      <c r="C5" s="16"/>
      <c r="D5" s="14" t="s">
        <v>4</v>
      </c>
      <c r="E5" s="14" t="s">
        <v>5</v>
      </c>
      <c r="F5" s="14" t="s">
        <v>6</v>
      </c>
      <c r="G5" s="14" t="s">
        <v>7</v>
      </c>
      <c r="H5" s="14" t="s">
        <v>8</v>
      </c>
      <c r="I5" s="14" t="s">
        <v>9</v>
      </c>
      <c r="J5" s="14" t="s">
        <v>10</v>
      </c>
      <c r="K5" s="14" t="s">
        <v>11</v>
      </c>
      <c r="L5" s="14" t="s">
        <v>12</v>
      </c>
      <c r="M5" s="14" t="s">
        <v>13</v>
      </c>
      <c r="N5" s="14" t="s">
        <v>14</v>
      </c>
      <c r="O5" s="14" t="s">
        <v>15</v>
      </c>
      <c r="P5" s="14"/>
      <c r="Q5" s="14" t="s">
        <v>16</v>
      </c>
      <c r="R5" s="17"/>
      <c r="S5" s="17"/>
      <c r="T5" s="17"/>
      <c r="U5" s="17" t="s">
        <v>17</v>
      </c>
      <c r="V5" s="17">
        <f>S14</f>
        <v>2642174.2800000003</v>
      </c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</row>
    <row r="6" spans="1:43" x14ac:dyDescent="0.2">
      <c r="A6" s="19"/>
      <c r="B6" s="20" t="s">
        <v>18</v>
      </c>
      <c r="C6" s="19"/>
      <c r="D6" s="19">
        <v>23050</v>
      </c>
      <c r="E6" s="19">
        <v>20050</v>
      </c>
      <c r="F6" s="19">
        <v>21550</v>
      </c>
      <c r="G6" s="19">
        <v>48550</v>
      </c>
      <c r="H6" s="19">
        <v>14250</v>
      </c>
      <c r="I6" s="19">
        <v>19050</v>
      </c>
      <c r="J6" s="19">
        <v>29050</v>
      </c>
      <c r="K6" s="19">
        <v>9350</v>
      </c>
      <c r="L6" s="19">
        <v>21550</v>
      </c>
      <c r="M6" s="19">
        <v>68050</v>
      </c>
      <c r="N6" s="19">
        <v>10050</v>
      </c>
      <c r="O6" s="19">
        <v>22550</v>
      </c>
      <c r="P6" s="19"/>
      <c r="Q6" s="21">
        <v>307100</v>
      </c>
      <c r="R6" s="13"/>
      <c r="S6" s="13"/>
      <c r="T6" s="13"/>
      <c r="U6" s="13" t="s">
        <v>19</v>
      </c>
      <c r="V6" s="13">
        <f>Q30</f>
        <v>82500</v>
      </c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</row>
    <row r="7" spans="1:43" x14ac:dyDescent="0.2">
      <c r="B7" s="22" t="s">
        <v>20</v>
      </c>
      <c r="D7" s="12">
        <v>13750</v>
      </c>
      <c r="E7" s="12">
        <v>376750</v>
      </c>
      <c r="F7" s="12">
        <v>44250</v>
      </c>
      <c r="G7" s="12">
        <v>17750</v>
      </c>
      <c r="H7" s="12">
        <v>23250</v>
      </c>
      <c r="I7" s="12">
        <v>127250</v>
      </c>
      <c r="J7" s="12">
        <v>69250</v>
      </c>
      <c r="K7" s="12">
        <v>90750</v>
      </c>
      <c r="L7" s="12">
        <v>96750</v>
      </c>
      <c r="M7" s="12">
        <v>31250</v>
      </c>
      <c r="N7" s="12">
        <v>12250</v>
      </c>
      <c r="O7" s="12">
        <v>27450</v>
      </c>
      <c r="Q7" s="23">
        <v>930700</v>
      </c>
      <c r="R7" s="24"/>
      <c r="S7" s="24">
        <f>Q10+Q11+Q25+Q30+Q6+Q7+Q20+Q18</f>
        <v>1572450</v>
      </c>
      <c r="T7" s="24"/>
      <c r="U7" s="13" t="s">
        <v>21</v>
      </c>
      <c r="V7" s="13">
        <f>SUM(Q26:Q28)</f>
        <v>12000</v>
      </c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</row>
    <row r="8" spans="1:43" x14ac:dyDescent="0.2">
      <c r="B8" s="25" t="s">
        <v>22</v>
      </c>
      <c r="C8" s="26"/>
      <c r="Q8" s="27">
        <v>0</v>
      </c>
      <c r="R8" s="24"/>
      <c r="S8" s="24"/>
      <c r="T8" s="24"/>
      <c r="U8" s="24" t="s">
        <v>23</v>
      </c>
      <c r="V8" s="13">
        <f>Q6+Q7+Q10+Q11+Q18+Q20+Q21+Q22</f>
        <v>1733700</v>
      </c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</row>
    <row r="9" spans="1:43" x14ac:dyDescent="0.2">
      <c r="B9" s="15" t="s">
        <v>24</v>
      </c>
      <c r="R9" s="24"/>
      <c r="S9" s="24"/>
      <c r="T9" s="24"/>
      <c r="U9" s="24" t="s">
        <v>25</v>
      </c>
      <c r="V9" s="13">
        <f>Q24+Q25</f>
        <v>52650</v>
      </c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</row>
    <row r="10" spans="1:43" x14ac:dyDescent="0.2">
      <c r="B10" s="28" t="s">
        <v>26</v>
      </c>
      <c r="D10" s="29">
        <v>500</v>
      </c>
      <c r="E10" s="12">
        <v>500</v>
      </c>
      <c r="F10" s="12">
        <v>500</v>
      </c>
      <c r="G10" s="12">
        <v>500</v>
      </c>
      <c r="H10" s="12">
        <v>500</v>
      </c>
      <c r="I10" s="12">
        <v>500</v>
      </c>
      <c r="J10" s="12">
        <v>500</v>
      </c>
      <c r="K10" s="12">
        <v>500</v>
      </c>
      <c r="L10" s="12">
        <v>500</v>
      </c>
      <c r="M10" s="12">
        <v>500</v>
      </c>
      <c r="N10" s="12">
        <v>500</v>
      </c>
      <c r="O10" s="12">
        <v>500</v>
      </c>
      <c r="Q10" s="21">
        <v>6000</v>
      </c>
      <c r="R10" s="24" t="s">
        <v>27</v>
      </c>
      <c r="S10" s="24"/>
      <c r="T10" s="24"/>
      <c r="U10" s="24"/>
      <c r="V10" s="13">
        <f>SUM(V5:V9)</f>
        <v>4523024.28</v>
      </c>
      <c r="W10" s="13">
        <f>S33-V10</f>
        <v>0</v>
      </c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</row>
    <row r="11" spans="1:43" x14ac:dyDescent="0.2">
      <c r="B11" s="22" t="s">
        <v>28</v>
      </c>
      <c r="D11" s="30">
        <v>8000</v>
      </c>
      <c r="E11" s="26">
        <v>8000</v>
      </c>
      <c r="F11" s="26">
        <v>8000</v>
      </c>
      <c r="G11" s="26">
        <v>8000</v>
      </c>
      <c r="H11" s="26">
        <v>8000</v>
      </c>
      <c r="I11" s="26">
        <v>8000</v>
      </c>
      <c r="J11" s="26">
        <v>8000</v>
      </c>
      <c r="K11" s="26">
        <v>8000</v>
      </c>
      <c r="L11" s="26">
        <v>8000</v>
      </c>
      <c r="M11" s="26">
        <v>8000</v>
      </c>
      <c r="N11" s="26">
        <v>8000</v>
      </c>
      <c r="O11" s="26">
        <v>8000</v>
      </c>
      <c r="P11" s="26"/>
      <c r="Q11" s="31">
        <v>96000</v>
      </c>
      <c r="R11" s="13" t="s">
        <v>27</v>
      </c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</row>
    <row r="12" spans="1:43" x14ac:dyDescent="0.2">
      <c r="B12" s="22" t="s">
        <v>29</v>
      </c>
      <c r="Q12" s="12">
        <v>0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</row>
    <row r="13" spans="1:43" x14ac:dyDescent="0.2">
      <c r="B13" s="25" t="s">
        <v>30</v>
      </c>
      <c r="R13" s="13"/>
      <c r="S13" s="13"/>
      <c r="T13" s="13"/>
      <c r="U13" s="13"/>
      <c r="V13" s="32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</row>
    <row r="14" spans="1:43" x14ac:dyDescent="0.2">
      <c r="B14" s="22" t="s">
        <v>31</v>
      </c>
      <c r="D14" s="29">
        <v>133448.26</v>
      </c>
      <c r="E14" s="12">
        <v>133448.26</v>
      </c>
      <c r="F14" s="12">
        <v>133448.26</v>
      </c>
      <c r="G14" s="12">
        <v>133448.26</v>
      </c>
      <c r="H14" s="12">
        <v>133448.26</v>
      </c>
      <c r="I14" s="12">
        <v>133448.26</v>
      </c>
      <c r="J14" s="12">
        <v>133448.26</v>
      </c>
      <c r="K14" s="12">
        <v>133448.26</v>
      </c>
      <c r="L14" s="12">
        <v>133448.26</v>
      </c>
      <c r="M14" s="12">
        <v>133448.26</v>
      </c>
      <c r="N14" s="12">
        <v>133448.26</v>
      </c>
      <c r="O14" s="12">
        <v>133448.26</v>
      </c>
      <c r="Q14" s="33">
        <v>1601379.12</v>
      </c>
      <c r="R14"/>
      <c r="S14" s="13">
        <f>Q14+Q15+Q16+Q17</f>
        <v>2642174.2800000003</v>
      </c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</row>
    <row r="15" spans="1:43" x14ac:dyDescent="0.2">
      <c r="B15" s="22" t="s">
        <v>32</v>
      </c>
      <c r="D15" s="29">
        <v>130750</v>
      </c>
      <c r="E15" s="12">
        <v>0</v>
      </c>
      <c r="F15" s="12">
        <v>0</v>
      </c>
      <c r="G15" s="12">
        <v>130750</v>
      </c>
      <c r="H15" s="12">
        <v>0</v>
      </c>
      <c r="I15" s="12">
        <v>0</v>
      </c>
      <c r="J15" s="12">
        <v>130750</v>
      </c>
      <c r="K15" s="12">
        <v>0</v>
      </c>
      <c r="L15" s="12">
        <v>0</v>
      </c>
      <c r="M15" s="12">
        <v>130750</v>
      </c>
      <c r="N15" s="12">
        <v>0</v>
      </c>
      <c r="O15" s="12">
        <v>0</v>
      </c>
      <c r="Q15" s="33">
        <v>523000</v>
      </c>
      <c r="R15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</row>
    <row r="16" spans="1:43" x14ac:dyDescent="0.2">
      <c r="B16" s="22" t="s">
        <v>33</v>
      </c>
      <c r="D16" s="12">
        <v>73724</v>
      </c>
      <c r="E16" s="12">
        <v>0</v>
      </c>
      <c r="F16" s="12">
        <v>0</v>
      </c>
      <c r="G16" s="12">
        <v>73724</v>
      </c>
      <c r="H16" s="12">
        <v>0</v>
      </c>
      <c r="I16" s="12">
        <v>0</v>
      </c>
      <c r="J16" s="12">
        <v>73724</v>
      </c>
      <c r="K16" s="12">
        <v>0</v>
      </c>
      <c r="L16" s="12">
        <v>0</v>
      </c>
      <c r="M16" s="12">
        <v>73724</v>
      </c>
      <c r="N16" s="12">
        <v>0</v>
      </c>
      <c r="O16" s="12">
        <v>0</v>
      </c>
      <c r="Q16" s="33">
        <v>294896</v>
      </c>
      <c r="R16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</row>
    <row r="17" spans="2:43" x14ac:dyDescent="0.2">
      <c r="B17" s="22" t="s">
        <v>34</v>
      </c>
      <c r="D17" s="12">
        <v>18574.93</v>
      </c>
      <c r="E17" s="12">
        <v>18574.93</v>
      </c>
      <c r="F17" s="12">
        <v>18574.93</v>
      </c>
      <c r="G17" s="12">
        <v>18574.93</v>
      </c>
      <c r="H17" s="12">
        <v>18574.93</v>
      </c>
      <c r="I17" s="12">
        <v>18574.93</v>
      </c>
      <c r="J17" s="12">
        <v>18574.93</v>
      </c>
      <c r="K17" s="12">
        <v>18574.93</v>
      </c>
      <c r="L17" s="12">
        <v>18574.93</v>
      </c>
      <c r="M17" s="12">
        <v>18574.93</v>
      </c>
      <c r="N17" s="12">
        <v>18574.93</v>
      </c>
      <c r="O17" s="12">
        <v>18574.93</v>
      </c>
      <c r="Q17" s="33">
        <v>222899.15999999995</v>
      </c>
      <c r="R17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</row>
    <row r="18" spans="2:43" x14ac:dyDescent="0.2">
      <c r="B18" s="22" t="s">
        <v>35</v>
      </c>
      <c r="D18" s="12">
        <v>0</v>
      </c>
      <c r="E18" s="12">
        <v>0</v>
      </c>
      <c r="F18" s="12">
        <v>0</v>
      </c>
      <c r="G18" s="12">
        <v>55000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Q18" s="34">
        <v>55000</v>
      </c>
      <c r="R18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</row>
    <row r="19" spans="2:43" ht="15" customHeight="1" x14ac:dyDescent="0.2">
      <c r="B19" s="15" t="s">
        <v>36</v>
      </c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</row>
    <row r="20" spans="2:43" x14ac:dyDescent="0.2">
      <c r="B20" s="22" t="s">
        <v>37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30000</v>
      </c>
      <c r="L20" s="12">
        <v>20000</v>
      </c>
      <c r="M20" s="12">
        <v>0</v>
      </c>
      <c r="N20" s="12">
        <v>0</v>
      </c>
      <c r="O20" s="12">
        <v>0</v>
      </c>
      <c r="Q20" s="35">
        <v>50000</v>
      </c>
      <c r="R20" s="13" t="s">
        <v>27</v>
      </c>
    </row>
    <row r="21" spans="2:43" x14ac:dyDescent="0.2">
      <c r="B21" s="22" t="s">
        <v>38</v>
      </c>
      <c r="D21" s="12">
        <v>26700</v>
      </c>
      <c r="E21" s="12">
        <v>100200</v>
      </c>
      <c r="F21" s="12">
        <v>200</v>
      </c>
      <c r="G21" s="12">
        <v>7700</v>
      </c>
      <c r="H21" s="12">
        <v>5200</v>
      </c>
      <c r="I21" s="12">
        <v>6200</v>
      </c>
      <c r="J21" s="12">
        <v>20200</v>
      </c>
      <c r="K21" s="12">
        <v>45200</v>
      </c>
      <c r="L21" s="12">
        <v>700</v>
      </c>
      <c r="M21" s="12">
        <v>200</v>
      </c>
      <c r="N21" s="12">
        <v>200</v>
      </c>
      <c r="O21" s="12">
        <v>1200</v>
      </c>
      <c r="Q21" s="36">
        <v>213900</v>
      </c>
      <c r="R21" s="4" t="s">
        <v>27</v>
      </c>
      <c r="S21" s="4">
        <f>Q21+Q22</f>
        <v>288900</v>
      </c>
    </row>
    <row r="22" spans="2:43" x14ac:dyDescent="0.2">
      <c r="B22" s="22" t="s">
        <v>39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75000</v>
      </c>
      <c r="L22" s="12">
        <v>0</v>
      </c>
      <c r="M22" s="12">
        <v>0</v>
      </c>
      <c r="N22" s="12">
        <v>0</v>
      </c>
      <c r="O22" s="12">
        <v>0</v>
      </c>
      <c r="Q22" s="36">
        <v>75000</v>
      </c>
      <c r="R22" s="4" t="s">
        <v>27</v>
      </c>
    </row>
    <row r="23" spans="2:43" x14ac:dyDescent="0.2">
      <c r="B23" s="25" t="s">
        <v>40</v>
      </c>
      <c r="V23"/>
    </row>
    <row r="24" spans="2:43" x14ac:dyDescent="0.2">
      <c r="B24" s="22" t="s">
        <v>41</v>
      </c>
      <c r="D24" s="12">
        <v>2500</v>
      </c>
      <c r="E24" s="12">
        <v>0</v>
      </c>
      <c r="F24" s="12">
        <v>0</v>
      </c>
      <c r="G24" s="12">
        <v>0</v>
      </c>
      <c r="H24" s="12">
        <v>0</v>
      </c>
      <c r="I24" s="12">
        <v>2500</v>
      </c>
      <c r="J24" s="12">
        <v>0</v>
      </c>
      <c r="K24" s="12">
        <v>0</v>
      </c>
      <c r="L24" s="12">
        <v>0</v>
      </c>
      <c r="M24" s="12">
        <v>2500</v>
      </c>
      <c r="N24" s="12">
        <v>0</v>
      </c>
      <c r="O24" s="12">
        <v>0</v>
      </c>
      <c r="Q24" s="35">
        <v>7500</v>
      </c>
    </row>
    <row r="25" spans="2:43" ht="12" customHeight="1" x14ac:dyDescent="0.2">
      <c r="B25" s="22" t="s">
        <v>42</v>
      </c>
      <c r="D25" s="29">
        <v>3750</v>
      </c>
      <c r="E25" s="29">
        <v>3750</v>
      </c>
      <c r="F25" s="29">
        <v>3800</v>
      </c>
      <c r="G25" s="29">
        <v>3750</v>
      </c>
      <c r="H25" s="29">
        <v>3750</v>
      </c>
      <c r="I25" s="29">
        <v>3800</v>
      </c>
      <c r="J25" s="29">
        <v>3750</v>
      </c>
      <c r="K25" s="29">
        <v>3750</v>
      </c>
      <c r="L25" s="29">
        <v>3800</v>
      </c>
      <c r="M25" s="29">
        <v>3750</v>
      </c>
      <c r="N25" s="29">
        <v>3750</v>
      </c>
      <c r="O25" s="29">
        <v>3750</v>
      </c>
      <c r="Q25" s="35">
        <v>45150</v>
      </c>
    </row>
    <row r="26" spans="2:43" x14ac:dyDescent="0.2">
      <c r="B26" s="22" t="s">
        <v>43</v>
      </c>
      <c r="D26" s="29">
        <v>500</v>
      </c>
      <c r="E26" s="12">
        <v>500</v>
      </c>
      <c r="F26" s="12">
        <v>500</v>
      </c>
      <c r="G26" s="12">
        <v>500</v>
      </c>
      <c r="H26" s="12">
        <v>500</v>
      </c>
      <c r="I26" s="12">
        <v>500</v>
      </c>
      <c r="J26" s="12">
        <v>500</v>
      </c>
      <c r="K26" s="12">
        <v>500</v>
      </c>
      <c r="L26" s="12">
        <v>500</v>
      </c>
      <c r="M26" s="12">
        <v>500</v>
      </c>
      <c r="N26" s="12">
        <v>500</v>
      </c>
      <c r="O26" s="12">
        <v>500</v>
      </c>
      <c r="Q26" s="35">
        <v>6000</v>
      </c>
      <c r="S26" s="4">
        <f>Q24+Q26+Q27+Q28</f>
        <v>19500</v>
      </c>
    </row>
    <row r="27" spans="2:43" x14ac:dyDescent="0.2">
      <c r="B27" s="22" t="s">
        <v>44</v>
      </c>
      <c r="D27" s="12">
        <v>100</v>
      </c>
      <c r="E27" s="12">
        <v>100</v>
      </c>
      <c r="F27" s="12">
        <v>100</v>
      </c>
      <c r="G27" s="12">
        <v>100</v>
      </c>
      <c r="H27" s="12">
        <v>100</v>
      </c>
      <c r="I27" s="12">
        <v>100</v>
      </c>
      <c r="J27" s="12">
        <v>100</v>
      </c>
      <c r="K27" s="12">
        <v>100</v>
      </c>
      <c r="L27" s="12">
        <v>100</v>
      </c>
      <c r="M27" s="12">
        <v>100</v>
      </c>
      <c r="N27" s="12">
        <v>100</v>
      </c>
      <c r="O27" s="12">
        <v>100</v>
      </c>
      <c r="Q27" s="35">
        <v>1200</v>
      </c>
    </row>
    <row r="28" spans="2:43" x14ac:dyDescent="0.2">
      <c r="B28" s="22" t="s">
        <v>45</v>
      </c>
      <c r="D28" s="29">
        <v>400</v>
      </c>
      <c r="E28" s="12">
        <v>400</v>
      </c>
      <c r="F28" s="12">
        <v>400</v>
      </c>
      <c r="G28" s="12">
        <v>400</v>
      </c>
      <c r="H28" s="12">
        <v>400</v>
      </c>
      <c r="I28" s="12">
        <v>400</v>
      </c>
      <c r="J28" s="12">
        <v>400</v>
      </c>
      <c r="K28" s="12">
        <v>400</v>
      </c>
      <c r="L28" s="12">
        <v>400</v>
      </c>
      <c r="M28" s="12">
        <v>400</v>
      </c>
      <c r="N28" s="12">
        <v>400</v>
      </c>
      <c r="O28" s="12">
        <v>400</v>
      </c>
      <c r="Q28" s="35">
        <v>4800</v>
      </c>
    </row>
    <row r="29" spans="2:43" x14ac:dyDescent="0.2">
      <c r="B29" s="25" t="s">
        <v>46</v>
      </c>
    </row>
    <row r="30" spans="2:43" x14ac:dyDescent="0.2">
      <c r="B30" s="22" t="s">
        <v>47</v>
      </c>
      <c r="D30" s="29">
        <v>6000</v>
      </c>
      <c r="E30" s="12">
        <v>6000</v>
      </c>
      <c r="F30" s="12">
        <v>11500</v>
      </c>
      <c r="G30" s="12">
        <v>6000</v>
      </c>
      <c r="H30" s="12">
        <v>6000</v>
      </c>
      <c r="I30" s="12">
        <v>6000</v>
      </c>
      <c r="J30" s="12">
        <v>6000</v>
      </c>
      <c r="K30" s="12">
        <v>6000</v>
      </c>
      <c r="L30" s="12">
        <v>11000</v>
      </c>
      <c r="M30" s="12">
        <v>6000</v>
      </c>
      <c r="N30" s="12">
        <v>6000</v>
      </c>
      <c r="O30" s="12">
        <v>6000</v>
      </c>
      <c r="Q30" s="21">
        <v>82500</v>
      </c>
    </row>
    <row r="31" spans="2:43" x14ac:dyDescent="0.2">
      <c r="B31" s="212" t="s">
        <v>48</v>
      </c>
      <c r="C31" s="209"/>
      <c r="D31" s="213"/>
    </row>
    <row r="32" spans="2:43" x14ac:dyDescent="0.2">
      <c r="B32" s="22" t="s">
        <v>49</v>
      </c>
      <c r="C32" s="26"/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Q32" s="27">
        <v>0</v>
      </c>
    </row>
    <row r="33" spans="1:22" s="39" customFormat="1" ht="25.5" customHeight="1" x14ac:dyDescent="0.2">
      <c r="A33" s="37"/>
      <c r="B33" s="38" t="s">
        <v>50</v>
      </c>
      <c r="C33" s="37">
        <f t="shared" ref="C33" si="0">SUM(C6:C32)</f>
        <v>0</v>
      </c>
      <c r="D33" s="37">
        <v>441747.19</v>
      </c>
      <c r="E33" s="37">
        <v>668273.19000000006</v>
      </c>
      <c r="F33" s="37">
        <v>242823.19</v>
      </c>
      <c r="G33" s="37">
        <v>504747.19</v>
      </c>
      <c r="H33" s="37">
        <v>213973.19</v>
      </c>
      <c r="I33" s="37">
        <v>326323.19</v>
      </c>
      <c r="J33" s="37">
        <v>494247.19</v>
      </c>
      <c r="K33" s="37">
        <v>421573.19</v>
      </c>
      <c r="L33" s="37">
        <v>315323.19</v>
      </c>
      <c r="M33" s="37">
        <v>477747.19</v>
      </c>
      <c r="N33" s="37">
        <v>193773.19</v>
      </c>
      <c r="O33" s="37">
        <v>222473.19</v>
      </c>
      <c r="P33" s="37"/>
      <c r="Q33" s="37">
        <v>4523024.28</v>
      </c>
      <c r="R33" s="4"/>
      <c r="S33" s="39">
        <f>SUM(S5:S32)</f>
        <v>4523024.28</v>
      </c>
      <c r="T33" s="39">
        <f>Q33-S33</f>
        <v>0</v>
      </c>
    </row>
    <row r="34" spans="1:22" s="39" customFormat="1" ht="16.5" customHeight="1" x14ac:dyDescent="0.2">
      <c r="A34" s="37"/>
      <c r="B34" s="38" t="s">
        <v>51</v>
      </c>
      <c r="C34" s="40"/>
      <c r="D34" s="41" t="s">
        <v>4</v>
      </c>
      <c r="E34" s="41" t="s">
        <v>5</v>
      </c>
      <c r="F34" s="41" t="s">
        <v>6</v>
      </c>
      <c r="G34" s="41" t="s">
        <v>7</v>
      </c>
      <c r="H34" s="41" t="s">
        <v>8</v>
      </c>
      <c r="I34" s="41" t="s">
        <v>9</v>
      </c>
      <c r="J34" s="41" t="s">
        <v>52</v>
      </c>
      <c r="K34" s="41" t="s">
        <v>11</v>
      </c>
      <c r="L34" s="41" t="s">
        <v>12</v>
      </c>
      <c r="M34" s="41" t="s">
        <v>13</v>
      </c>
      <c r="N34" s="41" t="s">
        <v>14</v>
      </c>
      <c r="O34" s="41" t="s">
        <v>53</v>
      </c>
      <c r="P34" s="37"/>
      <c r="Q34" s="37" t="s">
        <v>54</v>
      </c>
      <c r="S34" s="39">
        <f>Q33-S33</f>
        <v>0</v>
      </c>
    </row>
    <row r="35" spans="1:22" x14ac:dyDescent="0.2">
      <c r="B35" s="22" t="s">
        <v>55</v>
      </c>
      <c r="C35" s="26"/>
      <c r="D35" s="26">
        <v>300832.34000000003</v>
      </c>
      <c r="E35" s="26">
        <v>301758.03919999994</v>
      </c>
      <c r="F35" s="26">
        <v>301758.03919999994</v>
      </c>
      <c r="G35" s="26">
        <v>301758.03919999994</v>
      </c>
      <c r="H35" s="26">
        <v>301758.03919999994</v>
      </c>
      <c r="I35" s="26">
        <v>305638.85359999997</v>
      </c>
      <c r="J35" s="26">
        <v>306508.85359999997</v>
      </c>
      <c r="K35" s="26">
        <v>306508.85359999997</v>
      </c>
      <c r="L35" s="26">
        <v>306508.85359999997</v>
      </c>
      <c r="M35" s="26">
        <v>306508.85359999997</v>
      </c>
      <c r="N35" s="26">
        <v>306508.85359999997</v>
      </c>
      <c r="O35" s="26">
        <v>306508.85359999997</v>
      </c>
      <c r="P35" s="26"/>
      <c r="Q35" s="30">
        <v>3652556.4720000001</v>
      </c>
      <c r="R35" s="42"/>
      <c r="S35" s="43"/>
      <c r="T35" s="43"/>
    </row>
    <row r="36" spans="1:22" x14ac:dyDescent="0.2">
      <c r="B36" s="22" t="s">
        <v>56</v>
      </c>
      <c r="C36" s="26"/>
      <c r="D36" s="26">
        <v>15934.078065000002</v>
      </c>
      <c r="E36" s="26">
        <v>15737.541151699999</v>
      </c>
      <c r="F36" s="26">
        <v>15737.529013700001</v>
      </c>
      <c r="G36" s="26">
        <v>15737.529013700001</v>
      </c>
      <c r="H36" s="26">
        <v>15737.529013700001</v>
      </c>
      <c r="I36" s="26">
        <v>15968.529013700001</v>
      </c>
      <c r="J36" s="26">
        <v>15968.529013700001</v>
      </c>
      <c r="K36" s="26">
        <v>15968.529013700001</v>
      </c>
      <c r="L36" s="26">
        <v>15968.529013700001</v>
      </c>
      <c r="M36" s="26">
        <v>15968.529013700001</v>
      </c>
      <c r="N36" s="26">
        <v>15968.529013700001</v>
      </c>
      <c r="O36" s="26">
        <v>15968.529013700001</v>
      </c>
      <c r="P36" s="26"/>
      <c r="Q36" s="30">
        <v>190663.9093537</v>
      </c>
    </row>
    <row r="37" spans="1:22" x14ac:dyDescent="0.2">
      <c r="B37" s="44" t="s">
        <v>57</v>
      </c>
      <c r="C37" s="26"/>
      <c r="D37" s="26">
        <v>6409.9047170399999</v>
      </c>
      <c r="E37" s="26">
        <v>6270.7948910992</v>
      </c>
      <c r="F37" s="26">
        <v>6270.7901501391998</v>
      </c>
      <c r="G37" s="26">
        <v>6270.7901501391998</v>
      </c>
      <c r="H37" s="26">
        <v>6270.7901501391998</v>
      </c>
      <c r="I37" s="26">
        <v>6360.7901501391998</v>
      </c>
      <c r="J37" s="26">
        <v>6360.7901501391998</v>
      </c>
      <c r="K37" s="26">
        <v>6360.7901501391998</v>
      </c>
      <c r="L37" s="26">
        <v>6360.7901501391998</v>
      </c>
      <c r="M37" s="26">
        <v>6360.7901501391998</v>
      </c>
      <c r="N37" s="26">
        <v>6360.7901501391998</v>
      </c>
      <c r="O37" s="26">
        <v>6360.7901501391998</v>
      </c>
      <c r="P37" s="26"/>
      <c r="Q37" s="30">
        <v>76018.601109531199</v>
      </c>
    </row>
    <row r="38" spans="1:22" x14ac:dyDescent="0.2">
      <c r="B38" s="44" t="s">
        <v>58</v>
      </c>
      <c r="C38" s="26"/>
      <c r="D38" s="26">
        <v>3833.6960000000004</v>
      </c>
      <c r="E38" s="26">
        <v>3833.6960000000004</v>
      </c>
      <c r="F38" s="26">
        <v>3833.6960000000004</v>
      </c>
      <c r="G38" s="26">
        <v>3833.6960000000004</v>
      </c>
      <c r="H38" s="26">
        <v>3833.6960000000004</v>
      </c>
      <c r="I38" s="26">
        <v>3833.6960000000004</v>
      </c>
      <c r="J38" s="26">
        <v>3833.6960000000004</v>
      </c>
      <c r="K38" s="26">
        <v>3833.6960000000004</v>
      </c>
      <c r="L38" s="26">
        <v>3833.6960000000004</v>
      </c>
      <c r="M38" s="26">
        <v>3833.6960000000004</v>
      </c>
      <c r="N38" s="26">
        <v>3833.6960000000004</v>
      </c>
      <c r="O38" s="26">
        <v>3833.6960000000004</v>
      </c>
      <c r="P38" s="26"/>
      <c r="Q38" s="30">
        <v>46004.352000000014</v>
      </c>
    </row>
    <row r="39" spans="1:22" x14ac:dyDescent="0.2">
      <c r="B39" s="44" t="s">
        <v>59</v>
      </c>
      <c r="C39" s="26"/>
      <c r="D39" s="26">
        <v>12007.92</v>
      </c>
      <c r="E39" s="26">
        <v>11678.300000000001</v>
      </c>
      <c r="F39" s="26">
        <v>11678.300000000001</v>
      </c>
      <c r="G39" s="26">
        <v>11678.44</v>
      </c>
      <c r="H39" s="26">
        <v>11678.44</v>
      </c>
      <c r="I39" s="26">
        <v>11678.44</v>
      </c>
      <c r="J39" s="26">
        <v>11678.44</v>
      </c>
      <c r="K39" s="26">
        <v>11678.44</v>
      </c>
      <c r="L39" s="26">
        <v>11678.44</v>
      </c>
      <c r="M39" s="26">
        <v>11678.44</v>
      </c>
      <c r="N39" s="26">
        <v>11678.44</v>
      </c>
      <c r="O39" s="26">
        <v>11678.44</v>
      </c>
      <c r="P39" s="26"/>
      <c r="Q39" s="30">
        <v>140470.48000000001</v>
      </c>
    </row>
    <row r="40" spans="1:22" x14ac:dyDescent="0.2">
      <c r="B40" s="45" t="s">
        <v>60</v>
      </c>
      <c r="C40" s="26"/>
      <c r="D40" s="26">
        <v>0</v>
      </c>
      <c r="E40" s="26">
        <v>11456</v>
      </c>
      <c r="F40" s="26">
        <v>0</v>
      </c>
      <c r="G40" s="26">
        <v>11456</v>
      </c>
      <c r="H40" s="26">
        <v>0</v>
      </c>
      <c r="I40" s="26">
        <v>11456</v>
      </c>
      <c r="J40" s="26">
        <v>0</v>
      </c>
      <c r="K40" s="26">
        <v>11456</v>
      </c>
      <c r="L40" s="26">
        <v>0</v>
      </c>
      <c r="M40" s="26">
        <v>0</v>
      </c>
      <c r="N40" s="26">
        <v>0</v>
      </c>
      <c r="O40" s="26">
        <v>11456</v>
      </c>
      <c r="P40" s="26"/>
      <c r="Q40" s="30">
        <v>57280</v>
      </c>
    </row>
    <row r="41" spans="1:22" x14ac:dyDescent="0.2">
      <c r="B41" s="22" t="s">
        <v>61</v>
      </c>
      <c r="C41" s="26"/>
      <c r="D41" s="26">
        <v>4464</v>
      </c>
      <c r="E41" s="26">
        <v>4553.28</v>
      </c>
      <c r="F41" s="26">
        <v>4553.28</v>
      </c>
      <c r="G41" s="26">
        <v>4553.28</v>
      </c>
      <c r="H41" s="26">
        <v>4553.28</v>
      </c>
      <c r="I41" s="26">
        <v>4553.28</v>
      </c>
      <c r="J41" s="26">
        <v>4553.28</v>
      </c>
      <c r="K41" s="26">
        <v>4553.28</v>
      </c>
      <c r="L41" s="26">
        <v>4553.28</v>
      </c>
      <c r="M41" s="26">
        <v>4553.28</v>
      </c>
      <c r="N41" s="26">
        <v>4553.28</v>
      </c>
      <c r="O41" s="26">
        <v>4553.28</v>
      </c>
      <c r="P41" s="26"/>
      <c r="Q41" s="30">
        <v>54550.079999999987</v>
      </c>
      <c r="R41" s="43">
        <f>SUM(Q34:Q40)</f>
        <v>4162993.8144632312</v>
      </c>
      <c r="T41" s="4" t="s">
        <v>62</v>
      </c>
    </row>
    <row r="42" spans="1:22" x14ac:dyDescent="0.2">
      <c r="B42" s="22" t="s">
        <v>63</v>
      </c>
      <c r="C42" s="26"/>
      <c r="D42" s="26">
        <v>1800</v>
      </c>
      <c r="E42" s="26">
        <v>0</v>
      </c>
      <c r="F42" s="26">
        <v>800</v>
      </c>
      <c r="G42" s="26">
        <v>1750</v>
      </c>
      <c r="H42" s="26">
        <v>4650</v>
      </c>
      <c r="I42" s="26">
        <v>4250</v>
      </c>
      <c r="J42" s="26">
        <v>6250</v>
      </c>
      <c r="K42" s="26">
        <v>3500</v>
      </c>
      <c r="L42" s="26">
        <v>800</v>
      </c>
      <c r="M42" s="26">
        <v>11950</v>
      </c>
      <c r="N42" s="26">
        <v>50</v>
      </c>
      <c r="O42" s="26">
        <v>4250</v>
      </c>
      <c r="P42" s="26"/>
      <c r="Q42" s="26">
        <v>40050</v>
      </c>
      <c r="R42" s="4">
        <f>SUM(Q35:Q41)</f>
        <v>4217543.8944632309</v>
      </c>
      <c r="T42" s="4">
        <f>R42-'[1]Rosedale ADM'!T34-'[1]Rosedale PC'!T58</f>
        <v>2181360.7965352307</v>
      </c>
    </row>
    <row r="43" spans="1:22" x14ac:dyDescent="0.2">
      <c r="B43" s="22" t="s">
        <v>64</v>
      </c>
      <c r="D43" s="12">
        <v>9550</v>
      </c>
      <c r="E43" s="12">
        <v>4550</v>
      </c>
      <c r="F43" s="12">
        <v>1550</v>
      </c>
      <c r="G43" s="12">
        <v>850</v>
      </c>
      <c r="H43" s="12">
        <v>850</v>
      </c>
      <c r="I43" s="12">
        <v>1550</v>
      </c>
      <c r="J43" s="12">
        <v>850</v>
      </c>
      <c r="K43" s="12">
        <v>850</v>
      </c>
      <c r="L43" s="12">
        <v>1550</v>
      </c>
      <c r="M43" s="12">
        <v>850</v>
      </c>
      <c r="N43" s="12">
        <v>850</v>
      </c>
      <c r="O43" s="12">
        <v>1550</v>
      </c>
      <c r="Q43" s="26">
        <v>25400</v>
      </c>
    </row>
    <row r="44" spans="1:22" x14ac:dyDescent="0.2">
      <c r="B44" s="22" t="s">
        <v>65</v>
      </c>
      <c r="D44" s="12">
        <v>310</v>
      </c>
      <c r="E44" s="12">
        <v>510</v>
      </c>
      <c r="F44" s="12">
        <v>510</v>
      </c>
      <c r="G44" s="12">
        <v>3510</v>
      </c>
      <c r="H44" s="12">
        <v>560</v>
      </c>
      <c r="I44" s="12">
        <v>510</v>
      </c>
      <c r="J44" s="12">
        <v>10</v>
      </c>
      <c r="K44" s="12">
        <v>560</v>
      </c>
      <c r="L44" s="12">
        <v>10</v>
      </c>
      <c r="M44" s="12">
        <v>10</v>
      </c>
      <c r="N44" s="12">
        <v>10</v>
      </c>
      <c r="O44" s="12">
        <v>10</v>
      </c>
      <c r="Q44" s="26">
        <v>6520</v>
      </c>
      <c r="S44" s="4">
        <f>R41*1.02</f>
        <v>4246253.690752496</v>
      </c>
      <c r="T44" s="46"/>
    </row>
    <row r="45" spans="1:22" x14ac:dyDescent="0.2">
      <c r="B45" s="22" t="s">
        <v>66</v>
      </c>
      <c r="D45" s="12">
        <v>1150</v>
      </c>
      <c r="E45" s="12">
        <v>1150</v>
      </c>
      <c r="F45" s="12">
        <v>1150</v>
      </c>
      <c r="G45" s="12">
        <v>1150</v>
      </c>
      <c r="H45" s="12">
        <v>1150</v>
      </c>
      <c r="I45" s="12">
        <v>1150</v>
      </c>
      <c r="J45" s="12">
        <v>1150</v>
      </c>
      <c r="K45" s="12">
        <v>1750</v>
      </c>
      <c r="L45" s="12">
        <v>1900</v>
      </c>
      <c r="M45" s="12">
        <v>1050</v>
      </c>
      <c r="N45" s="12">
        <v>1050</v>
      </c>
      <c r="O45" s="12">
        <v>1050</v>
      </c>
      <c r="Q45" s="26">
        <v>14850</v>
      </c>
      <c r="R45" s="4">
        <v>14400</v>
      </c>
      <c r="S45" s="4">
        <f>R45-Q45</f>
        <v>-450</v>
      </c>
    </row>
    <row r="46" spans="1:22" s="49" customFormat="1" ht="12" customHeight="1" x14ac:dyDescent="0.2">
      <c r="A46" s="47"/>
      <c r="B46" s="48" t="s">
        <v>67</v>
      </c>
      <c r="C46" s="47"/>
      <c r="D46" s="47">
        <v>12306.33</v>
      </c>
      <c r="E46" s="47">
        <v>6105.33</v>
      </c>
      <c r="F46" s="47">
        <v>7115.33</v>
      </c>
      <c r="G46" s="47">
        <v>6015.33</v>
      </c>
      <c r="H46" s="47">
        <v>6015.33</v>
      </c>
      <c r="I46" s="47">
        <v>6015.33</v>
      </c>
      <c r="J46" s="47">
        <v>11000.33</v>
      </c>
      <c r="K46" s="47">
        <v>11569.33</v>
      </c>
      <c r="L46" s="47">
        <v>10784.33</v>
      </c>
      <c r="M46" s="47">
        <v>10894.33</v>
      </c>
      <c r="N46" s="47">
        <v>11095.33</v>
      </c>
      <c r="O46" s="47">
        <v>11103.33</v>
      </c>
      <c r="P46" s="47" t="s">
        <v>68</v>
      </c>
      <c r="Q46" s="26">
        <v>110019.96</v>
      </c>
      <c r="R46" s="4"/>
      <c r="U46" s="4"/>
      <c r="V46" s="4"/>
    </row>
    <row r="47" spans="1:22" x14ac:dyDescent="0.2">
      <c r="B47" s="22" t="s">
        <v>69</v>
      </c>
      <c r="D47" s="12">
        <v>3367</v>
      </c>
      <c r="E47" s="12">
        <v>3367</v>
      </c>
      <c r="F47" s="12">
        <v>3367</v>
      </c>
      <c r="G47" s="12">
        <v>3367</v>
      </c>
      <c r="H47" s="12">
        <v>3367</v>
      </c>
      <c r="I47" s="12">
        <v>3367</v>
      </c>
      <c r="J47" s="12">
        <v>3367</v>
      </c>
      <c r="K47" s="12">
        <v>3367</v>
      </c>
      <c r="L47" s="12">
        <v>3366</v>
      </c>
      <c r="M47" s="12">
        <v>3366</v>
      </c>
      <c r="N47" s="12">
        <v>3366</v>
      </c>
      <c r="O47" s="12">
        <v>3366</v>
      </c>
      <c r="Q47" s="26">
        <v>40400</v>
      </c>
      <c r="R47" s="49"/>
    </row>
    <row r="48" spans="1:22" x14ac:dyDescent="0.2">
      <c r="B48" s="22" t="s">
        <v>70</v>
      </c>
      <c r="D48" s="12">
        <v>2174</v>
      </c>
      <c r="E48" s="12">
        <v>2094</v>
      </c>
      <c r="F48" s="12">
        <v>1974</v>
      </c>
      <c r="G48" s="12">
        <v>1724</v>
      </c>
      <c r="H48" s="12">
        <v>2427</v>
      </c>
      <c r="I48" s="12">
        <v>3374</v>
      </c>
      <c r="J48" s="12">
        <v>3440</v>
      </c>
      <c r="K48" s="12">
        <v>1847</v>
      </c>
      <c r="L48" s="12">
        <v>3224</v>
      </c>
      <c r="M48" s="12">
        <v>3024</v>
      </c>
      <c r="N48" s="12">
        <v>2384</v>
      </c>
      <c r="O48" s="12">
        <v>7011</v>
      </c>
      <c r="Q48" s="26">
        <v>34697</v>
      </c>
    </row>
    <row r="49" spans="1:22" x14ac:dyDescent="0.2">
      <c r="B49" s="22" t="s">
        <v>71</v>
      </c>
      <c r="D49" s="12">
        <v>7600</v>
      </c>
      <c r="E49" s="12">
        <v>0</v>
      </c>
      <c r="F49" s="12">
        <v>1875</v>
      </c>
      <c r="G49" s="12">
        <v>1000</v>
      </c>
      <c r="H49" s="12">
        <v>0</v>
      </c>
      <c r="I49" s="12">
        <v>375</v>
      </c>
      <c r="J49" s="12">
        <v>1150</v>
      </c>
      <c r="K49" s="12">
        <v>1250</v>
      </c>
      <c r="L49" s="12">
        <v>1075</v>
      </c>
      <c r="M49" s="12">
        <v>0</v>
      </c>
      <c r="N49" s="12">
        <v>2500</v>
      </c>
      <c r="O49" s="12">
        <v>375</v>
      </c>
      <c r="Q49" s="26">
        <v>17200</v>
      </c>
    </row>
    <row r="50" spans="1:22" x14ac:dyDescent="0.2">
      <c r="B50" s="22" t="s">
        <v>72</v>
      </c>
      <c r="D50" s="12">
        <v>0</v>
      </c>
      <c r="E50" s="12">
        <v>250</v>
      </c>
      <c r="F50" s="12">
        <v>100</v>
      </c>
      <c r="G50" s="12">
        <v>0</v>
      </c>
      <c r="H50" s="12">
        <v>150</v>
      </c>
      <c r="I50" s="12">
        <v>100</v>
      </c>
      <c r="J50" s="12">
        <v>4500</v>
      </c>
      <c r="K50" s="12">
        <v>150</v>
      </c>
      <c r="L50" s="12">
        <v>19300</v>
      </c>
      <c r="M50" s="12">
        <v>0</v>
      </c>
      <c r="N50" s="12">
        <v>150</v>
      </c>
      <c r="O50" s="12">
        <v>100</v>
      </c>
      <c r="Q50" s="26">
        <v>24800</v>
      </c>
    </row>
    <row r="51" spans="1:22" s="52" customFormat="1" ht="17.25" customHeight="1" x14ac:dyDescent="0.2">
      <c r="A51" s="50"/>
      <c r="B51" s="51" t="s">
        <v>73</v>
      </c>
      <c r="C51" s="50"/>
      <c r="D51" s="50">
        <v>1021</v>
      </c>
      <c r="E51" s="50">
        <v>97.5</v>
      </c>
      <c r="F51" s="50">
        <v>97.5</v>
      </c>
      <c r="G51" s="50">
        <v>871</v>
      </c>
      <c r="H51" s="50">
        <v>97.5</v>
      </c>
      <c r="I51" s="50">
        <v>97.5</v>
      </c>
      <c r="J51" s="50">
        <v>871</v>
      </c>
      <c r="K51" s="50">
        <v>497.5</v>
      </c>
      <c r="L51" s="50">
        <v>97.5</v>
      </c>
      <c r="M51" s="50">
        <v>871</v>
      </c>
      <c r="N51" s="50">
        <v>97.5</v>
      </c>
      <c r="O51" s="50">
        <v>97.5</v>
      </c>
      <c r="P51" s="50"/>
      <c r="Q51" s="26">
        <v>4814</v>
      </c>
      <c r="R51" s="4"/>
      <c r="U51" s="4"/>
      <c r="V51" s="4"/>
    </row>
    <row r="52" spans="1:22" x14ac:dyDescent="0.2">
      <c r="B52" s="22" t="s">
        <v>74</v>
      </c>
      <c r="D52" s="12">
        <v>0</v>
      </c>
      <c r="E52" s="12">
        <v>0</v>
      </c>
      <c r="F52" s="12">
        <v>250</v>
      </c>
      <c r="G52" s="12">
        <v>0</v>
      </c>
      <c r="H52" s="12">
        <v>0</v>
      </c>
      <c r="I52" s="12">
        <v>325</v>
      </c>
      <c r="J52" s="12">
        <v>0</v>
      </c>
      <c r="K52" s="12">
        <v>50</v>
      </c>
      <c r="L52" s="12">
        <v>175</v>
      </c>
      <c r="M52" s="12">
        <v>50</v>
      </c>
      <c r="N52" s="12">
        <v>0</v>
      </c>
      <c r="O52" s="12">
        <v>225</v>
      </c>
      <c r="Q52" s="26">
        <v>1075</v>
      </c>
      <c r="R52" s="52"/>
      <c r="U52" s="49"/>
    </row>
    <row r="53" spans="1:22" x14ac:dyDescent="0.2">
      <c r="B53" s="22" t="s">
        <v>59</v>
      </c>
      <c r="D53" s="12">
        <v>5761</v>
      </c>
      <c r="E53" s="12">
        <v>5761</v>
      </c>
      <c r="F53" s="12">
        <v>5761</v>
      </c>
      <c r="G53" s="12">
        <v>5761</v>
      </c>
      <c r="H53" s="12">
        <v>5761</v>
      </c>
      <c r="I53" s="12">
        <v>5761</v>
      </c>
      <c r="J53" s="12">
        <v>5761</v>
      </c>
      <c r="K53" s="12">
        <v>5761</v>
      </c>
      <c r="L53" s="12">
        <v>5761</v>
      </c>
      <c r="M53" s="12">
        <v>5761</v>
      </c>
      <c r="N53" s="12">
        <v>5761</v>
      </c>
      <c r="O53" s="12">
        <v>5761</v>
      </c>
      <c r="Q53" s="26">
        <v>69132</v>
      </c>
    </row>
    <row r="54" spans="1:22" x14ac:dyDescent="0.2">
      <c r="B54" s="22" t="s">
        <v>75</v>
      </c>
      <c r="D54" s="12">
        <v>1220</v>
      </c>
      <c r="E54" s="12">
        <v>1220</v>
      </c>
      <c r="F54" s="12">
        <v>1220</v>
      </c>
      <c r="G54" s="12">
        <v>1220</v>
      </c>
      <c r="H54" s="12">
        <v>1220</v>
      </c>
      <c r="I54" s="12">
        <v>1220</v>
      </c>
      <c r="J54" s="12">
        <v>1220</v>
      </c>
      <c r="K54" s="12">
        <v>1220</v>
      </c>
      <c r="L54" s="12">
        <v>1220</v>
      </c>
      <c r="M54" s="12">
        <v>1220</v>
      </c>
      <c r="N54" s="12">
        <v>1220</v>
      </c>
      <c r="O54" s="12">
        <v>1220</v>
      </c>
      <c r="Q54" s="26">
        <v>14640</v>
      </c>
    </row>
    <row r="55" spans="1:22" x14ac:dyDescent="0.2">
      <c r="B55" s="22" t="s">
        <v>76</v>
      </c>
      <c r="D55" s="12">
        <v>0</v>
      </c>
      <c r="E55" s="12">
        <v>200</v>
      </c>
      <c r="F55" s="12">
        <v>100</v>
      </c>
      <c r="G55" s="12">
        <v>0</v>
      </c>
      <c r="H55" s="12">
        <v>0</v>
      </c>
      <c r="I55" s="12">
        <v>0</v>
      </c>
      <c r="J55" s="12">
        <v>300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Q55" s="26">
        <v>600</v>
      </c>
    </row>
    <row r="56" spans="1:22" s="52" customFormat="1" ht="18.75" customHeight="1" x14ac:dyDescent="0.2">
      <c r="A56" s="50"/>
      <c r="B56" s="51" t="s">
        <v>77</v>
      </c>
      <c r="C56" s="50"/>
      <c r="D56" s="50">
        <v>3808.33</v>
      </c>
      <c r="E56" s="50">
        <v>3808.33</v>
      </c>
      <c r="F56" s="50">
        <v>3808.33</v>
      </c>
      <c r="G56" s="50">
        <v>3808.33</v>
      </c>
      <c r="H56" s="50">
        <v>3808.33</v>
      </c>
      <c r="I56" s="50">
        <v>3808.33</v>
      </c>
      <c r="J56" s="50">
        <v>3808.33</v>
      </c>
      <c r="K56" s="50">
        <v>3808.33</v>
      </c>
      <c r="L56" s="50">
        <v>3808.33</v>
      </c>
      <c r="M56" s="50">
        <v>3808.33</v>
      </c>
      <c r="N56" s="50">
        <v>3808.33</v>
      </c>
      <c r="O56" s="50">
        <v>3808.33</v>
      </c>
      <c r="P56" s="50"/>
      <c r="Q56" s="26">
        <v>45699.960000000014</v>
      </c>
      <c r="R56" s="4"/>
      <c r="U56" s="4"/>
      <c r="V56" s="4"/>
    </row>
    <row r="57" spans="1:22" x14ac:dyDescent="0.2">
      <c r="B57" s="22" t="s">
        <v>78</v>
      </c>
      <c r="D57" s="12">
        <v>889</v>
      </c>
      <c r="E57" s="12">
        <v>639</v>
      </c>
      <c r="F57" s="12">
        <v>639</v>
      </c>
      <c r="G57" s="12">
        <v>889</v>
      </c>
      <c r="H57" s="12">
        <v>639</v>
      </c>
      <c r="I57" s="12">
        <v>639</v>
      </c>
      <c r="J57" s="12">
        <v>889</v>
      </c>
      <c r="K57" s="12">
        <v>639</v>
      </c>
      <c r="L57" s="12">
        <v>637</v>
      </c>
      <c r="M57" s="12">
        <v>887</v>
      </c>
      <c r="N57" s="12">
        <v>637</v>
      </c>
      <c r="O57" s="12">
        <v>637</v>
      </c>
      <c r="Q57" s="26">
        <v>8660</v>
      </c>
      <c r="R57" s="52"/>
      <c r="U57" s="52"/>
    </row>
    <row r="58" spans="1:22" x14ac:dyDescent="0.2">
      <c r="B58" s="22" t="s">
        <v>79</v>
      </c>
      <c r="D58" s="12">
        <v>1285</v>
      </c>
      <c r="E58" s="12">
        <v>1285</v>
      </c>
      <c r="F58" s="12">
        <v>1285</v>
      </c>
      <c r="G58" s="12">
        <v>1285</v>
      </c>
      <c r="H58" s="12">
        <v>1285</v>
      </c>
      <c r="I58" s="12">
        <v>1285</v>
      </c>
      <c r="J58" s="12">
        <v>1285</v>
      </c>
      <c r="K58" s="12">
        <v>1285</v>
      </c>
      <c r="L58" s="12">
        <v>1285</v>
      </c>
      <c r="M58" s="12">
        <v>1285</v>
      </c>
      <c r="N58" s="12">
        <v>1285</v>
      </c>
      <c r="O58" s="12">
        <v>1285</v>
      </c>
      <c r="Q58" s="26">
        <v>15420</v>
      </c>
    </row>
    <row r="59" spans="1:22" x14ac:dyDescent="0.2">
      <c r="B59" s="22" t="s">
        <v>80</v>
      </c>
      <c r="D59" s="12">
        <v>1761.33</v>
      </c>
      <c r="E59" s="12">
        <v>1761.33</v>
      </c>
      <c r="F59" s="12">
        <v>1761.33</v>
      </c>
      <c r="G59" s="12">
        <v>1761.33</v>
      </c>
      <c r="H59" s="12">
        <v>1761.33</v>
      </c>
      <c r="I59" s="12">
        <v>1761.33</v>
      </c>
      <c r="J59" s="12">
        <v>1761.33</v>
      </c>
      <c r="K59" s="12">
        <v>1761.33</v>
      </c>
      <c r="L59" s="12">
        <v>1761.33</v>
      </c>
      <c r="M59" s="12">
        <v>1761.33</v>
      </c>
      <c r="N59" s="12">
        <v>1761.33</v>
      </c>
      <c r="O59" s="12">
        <v>1761.33</v>
      </c>
      <c r="Q59" s="26">
        <v>21135.96</v>
      </c>
    </row>
    <row r="60" spans="1:22" x14ac:dyDescent="0.2">
      <c r="B60" s="22" t="s">
        <v>81</v>
      </c>
      <c r="D60" s="12">
        <v>393.34</v>
      </c>
      <c r="E60" s="12">
        <v>443.33999999999992</v>
      </c>
      <c r="F60" s="12">
        <v>393.34</v>
      </c>
      <c r="G60" s="12">
        <v>393.34</v>
      </c>
      <c r="H60" s="12">
        <v>393.34</v>
      </c>
      <c r="I60" s="12">
        <v>393.34</v>
      </c>
      <c r="J60" s="12">
        <v>393.34</v>
      </c>
      <c r="K60" s="12">
        <v>2143.34</v>
      </c>
      <c r="L60" s="12">
        <v>693.33999999999992</v>
      </c>
      <c r="M60" s="12">
        <v>393.34</v>
      </c>
      <c r="N60" s="12">
        <v>393.34</v>
      </c>
      <c r="O60" s="12">
        <v>393.34</v>
      </c>
      <c r="Q60" s="26">
        <v>6820.08</v>
      </c>
      <c r="R60" s="4">
        <v>9310</v>
      </c>
      <c r="S60" s="52">
        <f>R60-Q60</f>
        <v>2489.92</v>
      </c>
    </row>
    <row r="61" spans="1:22" s="52" customFormat="1" ht="16.5" customHeight="1" x14ac:dyDescent="0.2">
      <c r="A61" s="50"/>
      <c r="B61" s="51" t="s">
        <v>82</v>
      </c>
      <c r="C61" s="50"/>
      <c r="D61" s="50">
        <v>1005</v>
      </c>
      <c r="E61" s="50">
        <v>905</v>
      </c>
      <c r="F61" s="50">
        <v>2130</v>
      </c>
      <c r="G61" s="50">
        <v>780</v>
      </c>
      <c r="H61" s="50">
        <v>530</v>
      </c>
      <c r="I61" s="50">
        <v>705</v>
      </c>
      <c r="J61" s="50">
        <v>1105</v>
      </c>
      <c r="K61" s="50">
        <v>4405</v>
      </c>
      <c r="L61" s="50">
        <v>530</v>
      </c>
      <c r="M61" s="50">
        <v>1180</v>
      </c>
      <c r="N61" s="50">
        <v>630</v>
      </c>
      <c r="O61" s="50">
        <v>405</v>
      </c>
      <c r="P61" s="50"/>
      <c r="Q61" s="26">
        <v>14310</v>
      </c>
      <c r="R61" s="4">
        <v>20061</v>
      </c>
      <c r="S61" s="52">
        <f>R61-Q61</f>
        <v>5751</v>
      </c>
      <c r="U61" s="4"/>
      <c r="V61" s="4"/>
    </row>
    <row r="62" spans="1:22" s="52" customFormat="1" ht="16.5" customHeight="1" x14ac:dyDescent="0.2">
      <c r="A62" s="50"/>
      <c r="B62" s="51" t="s">
        <v>83</v>
      </c>
      <c r="C62" s="50"/>
      <c r="D62" s="50">
        <v>30</v>
      </c>
      <c r="E62" s="50">
        <v>10</v>
      </c>
      <c r="F62" s="50">
        <v>30</v>
      </c>
      <c r="G62" s="50">
        <v>10</v>
      </c>
      <c r="H62" s="50">
        <v>30</v>
      </c>
      <c r="I62" s="50">
        <v>10</v>
      </c>
      <c r="J62" s="50">
        <v>30</v>
      </c>
      <c r="K62" s="50">
        <v>10</v>
      </c>
      <c r="L62" s="50">
        <v>30</v>
      </c>
      <c r="M62" s="50">
        <v>10</v>
      </c>
      <c r="N62" s="50">
        <v>30</v>
      </c>
      <c r="O62" s="50">
        <v>10</v>
      </c>
      <c r="P62" s="50"/>
      <c r="Q62" s="26">
        <v>240</v>
      </c>
      <c r="R62" s="4"/>
      <c r="V62" s="4"/>
    </row>
    <row r="63" spans="1:22" x14ac:dyDescent="0.2">
      <c r="B63" s="25" t="s">
        <v>38</v>
      </c>
      <c r="D63" s="12">
        <v>10370</v>
      </c>
      <c r="E63" s="12">
        <v>5750</v>
      </c>
      <c r="F63" s="12">
        <v>3070</v>
      </c>
      <c r="G63" s="12">
        <v>50</v>
      </c>
      <c r="H63" s="12">
        <v>20</v>
      </c>
      <c r="I63" s="12">
        <v>870</v>
      </c>
      <c r="J63" s="12">
        <v>2220</v>
      </c>
      <c r="K63" s="12">
        <v>25250</v>
      </c>
      <c r="L63" s="12">
        <v>20</v>
      </c>
      <c r="M63" s="12">
        <v>0</v>
      </c>
      <c r="N63" s="12">
        <v>20</v>
      </c>
      <c r="O63" s="12">
        <v>0</v>
      </c>
      <c r="Q63" s="26">
        <v>47640</v>
      </c>
    </row>
    <row r="64" spans="1:22" x14ac:dyDescent="0.2">
      <c r="B64" s="22" t="s">
        <v>84</v>
      </c>
      <c r="D64" s="12">
        <v>6400</v>
      </c>
      <c r="E64" s="12">
        <v>100</v>
      </c>
      <c r="F64" s="12">
        <v>1100</v>
      </c>
      <c r="G64" s="12">
        <v>100</v>
      </c>
      <c r="H64" s="12">
        <v>100</v>
      </c>
      <c r="I64" s="12">
        <v>100</v>
      </c>
      <c r="J64" s="12">
        <v>100</v>
      </c>
      <c r="K64" s="12">
        <v>100</v>
      </c>
      <c r="L64" s="12">
        <v>100</v>
      </c>
      <c r="M64" s="12">
        <v>100</v>
      </c>
      <c r="N64" s="12">
        <v>100</v>
      </c>
      <c r="O64" s="12">
        <v>100</v>
      </c>
      <c r="Q64" s="26">
        <v>8500</v>
      </c>
    </row>
    <row r="65" spans="1:21" x14ac:dyDescent="0.2">
      <c r="B65" s="22" t="s">
        <v>85</v>
      </c>
      <c r="D65" s="12">
        <v>533.32999999999993</v>
      </c>
      <c r="E65" s="12">
        <v>533.32999999999993</v>
      </c>
      <c r="F65" s="12">
        <v>533.32999999999993</v>
      </c>
      <c r="G65" s="12">
        <v>533.32999999999993</v>
      </c>
      <c r="H65" s="12">
        <v>533.32999999999993</v>
      </c>
      <c r="I65" s="12">
        <v>533.32999999999993</v>
      </c>
      <c r="J65" s="12">
        <v>933.32999999999993</v>
      </c>
      <c r="K65" s="12">
        <v>533.32999999999993</v>
      </c>
      <c r="L65" s="12">
        <v>533.32999999999993</v>
      </c>
      <c r="M65" s="12">
        <v>533.32999999999993</v>
      </c>
      <c r="N65" s="12">
        <v>633.32999999999993</v>
      </c>
      <c r="O65" s="12">
        <v>533.32999999999993</v>
      </c>
      <c r="Q65" s="26">
        <v>6899.9599999999991</v>
      </c>
    </row>
    <row r="66" spans="1:21" x14ac:dyDescent="0.2">
      <c r="B66" s="22" t="s">
        <v>86</v>
      </c>
      <c r="D66" s="12">
        <v>6025</v>
      </c>
      <c r="E66" s="12">
        <v>5825</v>
      </c>
      <c r="F66" s="12">
        <v>6225</v>
      </c>
      <c r="G66" s="12">
        <v>5625</v>
      </c>
      <c r="H66" s="12">
        <v>5525</v>
      </c>
      <c r="I66" s="12">
        <v>5825</v>
      </c>
      <c r="J66" s="12">
        <v>5825</v>
      </c>
      <c r="K66" s="12">
        <v>5975</v>
      </c>
      <c r="L66" s="12">
        <v>5700</v>
      </c>
      <c r="M66" s="12">
        <v>5825</v>
      </c>
      <c r="N66" s="12">
        <v>5825</v>
      </c>
      <c r="O66" s="12">
        <v>5825</v>
      </c>
      <c r="Q66" s="26">
        <v>70025</v>
      </c>
      <c r="U66" s="52"/>
    </row>
    <row r="67" spans="1:21" x14ac:dyDescent="0.2">
      <c r="B67" s="22" t="s">
        <v>87</v>
      </c>
      <c r="D67" s="12">
        <v>2260</v>
      </c>
      <c r="E67" s="12">
        <v>2260</v>
      </c>
      <c r="F67" s="12">
        <v>2260</v>
      </c>
      <c r="G67" s="12">
        <v>2260</v>
      </c>
      <c r="H67" s="12">
        <v>2260</v>
      </c>
      <c r="I67" s="12">
        <v>2260</v>
      </c>
      <c r="J67" s="12">
        <v>2260</v>
      </c>
      <c r="K67" s="12">
        <v>2260</v>
      </c>
      <c r="L67" s="12">
        <v>2260</v>
      </c>
      <c r="M67" s="12">
        <v>2260</v>
      </c>
      <c r="N67" s="12">
        <v>2260</v>
      </c>
      <c r="O67" s="12">
        <v>2260</v>
      </c>
      <c r="Q67" s="26">
        <v>27120</v>
      </c>
      <c r="U67" s="52"/>
    </row>
    <row r="68" spans="1:21" x14ac:dyDescent="0.2">
      <c r="B68" s="22" t="s">
        <v>88</v>
      </c>
      <c r="D68" s="12">
        <v>895</v>
      </c>
      <c r="E68" s="12">
        <v>845</v>
      </c>
      <c r="F68" s="12">
        <v>895</v>
      </c>
      <c r="G68" s="12">
        <v>845</v>
      </c>
      <c r="H68" s="12">
        <v>895</v>
      </c>
      <c r="I68" s="12">
        <v>845</v>
      </c>
      <c r="J68" s="12">
        <v>895</v>
      </c>
      <c r="K68" s="12">
        <v>845</v>
      </c>
      <c r="L68" s="12">
        <v>895</v>
      </c>
      <c r="M68" s="12">
        <v>845</v>
      </c>
      <c r="N68" s="12">
        <v>895</v>
      </c>
      <c r="O68" s="12">
        <v>845</v>
      </c>
      <c r="Q68" s="26">
        <v>10440</v>
      </c>
    </row>
    <row r="69" spans="1:21" x14ac:dyDescent="0.2">
      <c r="B69" s="22" t="s">
        <v>89</v>
      </c>
      <c r="D69" s="12">
        <v>6666.67</v>
      </c>
      <c r="E69" s="12">
        <v>6666.67</v>
      </c>
      <c r="F69" s="12">
        <v>6666.67</v>
      </c>
      <c r="G69" s="12">
        <v>6666.67</v>
      </c>
      <c r="H69" s="12">
        <v>6666.67</v>
      </c>
      <c r="I69" s="12">
        <v>6666.67</v>
      </c>
      <c r="J69" s="12">
        <v>6666.67</v>
      </c>
      <c r="K69" s="12">
        <v>6666.67</v>
      </c>
      <c r="L69" s="12">
        <v>6666.67</v>
      </c>
      <c r="M69" s="12">
        <v>6666.67</v>
      </c>
      <c r="N69" s="12">
        <v>6666.67</v>
      </c>
      <c r="O69" s="12">
        <v>6666.67</v>
      </c>
      <c r="Q69" s="26">
        <v>80000.039999999994</v>
      </c>
    </row>
    <row r="70" spans="1:21" x14ac:dyDescent="0.2">
      <c r="B70" s="22" t="s">
        <v>90</v>
      </c>
      <c r="D70" s="12">
        <v>525</v>
      </c>
      <c r="E70" s="12">
        <v>25</v>
      </c>
      <c r="F70" s="12">
        <v>225</v>
      </c>
      <c r="G70" s="12">
        <v>25</v>
      </c>
      <c r="H70" s="12">
        <v>25</v>
      </c>
      <c r="I70" s="12">
        <v>25</v>
      </c>
      <c r="J70" s="12">
        <v>25</v>
      </c>
      <c r="K70" s="12">
        <v>25</v>
      </c>
      <c r="L70" s="12">
        <v>225</v>
      </c>
      <c r="M70" s="12">
        <v>25</v>
      </c>
      <c r="N70" s="12">
        <v>25</v>
      </c>
      <c r="O70" s="12">
        <v>25</v>
      </c>
      <c r="Q70" s="26">
        <v>1200</v>
      </c>
    </row>
    <row r="71" spans="1:21" ht="13.5" thickBot="1" x14ac:dyDescent="0.25">
      <c r="B71" s="22" t="s">
        <v>91</v>
      </c>
      <c r="D71" s="53">
        <v>250</v>
      </c>
      <c r="E71" s="53">
        <v>250</v>
      </c>
      <c r="F71" s="53">
        <v>250</v>
      </c>
      <c r="G71" s="53">
        <v>250</v>
      </c>
      <c r="H71" s="53">
        <v>250</v>
      </c>
      <c r="I71" s="53">
        <v>250</v>
      </c>
      <c r="J71" s="53">
        <v>250</v>
      </c>
      <c r="K71" s="53">
        <v>250</v>
      </c>
      <c r="L71" s="53">
        <v>250</v>
      </c>
      <c r="M71" s="53">
        <v>250</v>
      </c>
      <c r="N71" s="53">
        <v>250</v>
      </c>
      <c r="O71" s="53">
        <v>250</v>
      </c>
      <c r="Q71" s="53">
        <v>3000</v>
      </c>
    </row>
    <row r="72" spans="1:21" s="6" customFormat="1" x14ac:dyDescent="0.2">
      <c r="A72" s="29"/>
      <c r="B72" s="25" t="s">
        <v>92</v>
      </c>
      <c r="C72" s="29"/>
      <c r="D72" s="54">
        <v>432838.2687820401</v>
      </c>
      <c r="E72" s="54">
        <v>411699.48124279926</v>
      </c>
      <c r="F72" s="54">
        <v>400973.46436383924</v>
      </c>
      <c r="G72" s="54">
        <v>407788.10436383926</v>
      </c>
      <c r="H72" s="54">
        <v>394801.60436383926</v>
      </c>
      <c r="I72" s="54">
        <v>413561.41876383929</v>
      </c>
      <c r="J72" s="54">
        <v>417219.91876383929</v>
      </c>
      <c r="K72" s="54">
        <v>448688.41876383929</v>
      </c>
      <c r="L72" s="54">
        <v>423561.41876383929</v>
      </c>
      <c r="M72" s="54">
        <v>413779.91876383929</v>
      </c>
      <c r="N72" s="54">
        <v>402657.41876383929</v>
      </c>
      <c r="O72" s="54">
        <v>421283.41876383929</v>
      </c>
      <c r="P72" s="29"/>
      <c r="Q72" s="54">
        <v>4988852.8544632308</v>
      </c>
      <c r="R72" s="4"/>
      <c r="S72" s="6">
        <f>Q72-R42</f>
        <v>771308.96</v>
      </c>
    </row>
    <row r="73" spans="1:21" s="6" customFormat="1" x14ac:dyDescent="0.2">
      <c r="A73" s="29"/>
      <c r="B73" s="25" t="s">
        <v>93</v>
      </c>
      <c r="C73" s="29"/>
      <c r="D73" s="29">
        <v>8908.9212179598981</v>
      </c>
      <c r="E73" s="29">
        <v>256573.7087572008</v>
      </c>
      <c r="F73" s="29">
        <v>-158150.27436383924</v>
      </c>
      <c r="G73" s="29">
        <v>96959.085636160744</v>
      </c>
      <c r="H73" s="29">
        <v>-180828.41436383926</v>
      </c>
      <c r="I73" s="29">
        <v>-87238.228763839288</v>
      </c>
      <c r="J73" s="29">
        <v>77027.271236160712</v>
      </c>
      <c r="K73" s="29">
        <v>-27115.228763839288</v>
      </c>
      <c r="L73" s="29">
        <v>-108238.22876383929</v>
      </c>
      <c r="M73" s="29">
        <v>63967.271236160712</v>
      </c>
      <c r="N73" s="29">
        <v>-208884.22876383929</v>
      </c>
      <c r="O73" s="29">
        <v>-198810.22876383929</v>
      </c>
      <c r="P73" s="29" t="s">
        <v>68</v>
      </c>
      <c r="Q73" s="29">
        <v>-465828.57446323056</v>
      </c>
    </row>
    <row r="74" spans="1:21" x14ac:dyDescent="0.2">
      <c r="B74" s="25" t="s">
        <v>94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Q74" s="12">
        <v>0</v>
      </c>
      <c r="R74" s="6"/>
    </row>
    <row r="75" spans="1:21" x14ac:dyDescent="0.2">
      <c r="B75" s="25" t="s">
        <v>95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Q75" s="12">
        <v>0</v>
      </c>
    </row>
    <row r="76" spans="1:21" x14ac:dyDescent="0.2">
      <c r="B76" s="55" t="s">
        <v>96</v>
      </c>
      <c r="C76" s="56"/>
      <c r="D76" s="56">
        <v>166914.8142259568</v>
      </c>
      <c r="E76" s="56">
        <v>134220.90134004166</v>
      </c>
      <c r="F76" s="56">
        <v>132473.37134004166</v>
      </c>
      <c r="G76" s="56">
        <v>129727.25134004166</v>
      </c>
      <c r="H76" s="56">
        <v>124677.32134004167</v>
      </c>
      <c r="I76" s="56">
        <v>131524.50134004166</v>
      </c>
      <c r="J76" s="56">
        <v>141435.87134004166</v>
      </c>
      <c r="K76" s="56">
        <v>164161.90134004166</v>
      </c>
      <c r="L76" s="56">
        <v>155580.27134004165</v>
      </c>
      <c r="M76" s="56">
        <v>137807.52134004165</v>
      </c>
      <c r="N76" s="56">
        <v>129252.47134004167</v>
      </c>
      <c r="O76" s="56">
        <v>138786.64134004165</v>
      </c>
      <c r="P76" s="56"/>
      <c r="Q76" s="57">
        <v>1686562.838966415</v>
      </c>
    </row>
    <row r="77" spans="1:21" x14ac:dyDescent="0.2">
      <c r="B77" s="55" t="s">
        <v>97</v>
      </c>
      <c r="C77" s="56"/>
      <c r="D77" s="56">
        <v>31623.313649100801</v>
      </c>
      <c r="E77" s="56">
        <v>25689.768496050783</v>
      </c>
      <c r="F77" s="56">
        <v>25897.338496050783</v>
      </c>
      <c r="G77" s="56">
        <v>25691.618496050785</v>
      </c>
      <c r="H77" s="56">
        <v>24929.788496050784</v>
      </c>
      <c r="I77" s="56">
        <v>26311.368496050785</v>
      </c>
      <c r="J77" s="56">
        <v>28357.838496050783</v>
      </c>
      <c r="K77" s="56">
        <v>26910.768496050783</v>
      </c>
      <c r="L77" s="56">
        <v>33656.238496050784</v>
      </c>
      <c r="M77" s="56">
        <v>28170.988496050784</v>
      </c>
      <c r="N77" s="56">
        <v>26204.438496050781</v>
      </c>
      <c r="O77" s="56">
        <v>28709.708496050782</v>
      </c>
      <c r="P77" s="56"/>
      <c r="Q77" s="57">
        <v>332153.17710565939</v>
      </c>
    </row>
    <row r="78" spans="1:21" x14ac:dyDescent="0.2">
      <c r="B78" s="58" t="s">
        <v>98</v>
      </c>
      <c r="C78" s="56"/>
      <c r="D78" s="56">
        <v>44265.173883841126</v>
      </c>
      <c r="E78" s="56">
        <v>36494.528148462297</v>
      </c>
      <c r="F78" s="56">
        <v>36504.101148462301</v>
      </c>
      <c r="G78" s="56">
        <v>36013.993148462294</v>
      </c>
      <c r="H78" s="56">
        <v>34817.656148462294</v>
      </c>
      <c r="I78" s="56">
        <v>36704.268148462303</v>
      </c>
      <c r="J78" s="56">
        <v>39218.001148462296</v>
      </c>
      <c r="K78" s="56">
        <v>40333.928148462299</v>
      </c>
      <c r="L78" s="56">
        <v>44409.061148462293</v>
      </c>
      <c r="M78" s="56">
        <v>38460.836148462295</v>
      </c>
      <c r="N78" s="56">
        <v>36256.541148462296</v>
      </c>
      <c r="O78" s="56">
        <v>39089.694148462295</v>
      </c>
      <c r="P78" s="56"/>
      <c r="Q78" s="57">
        <v>462567.78251692635</v>
      </c>
    </row>
    <row r="79" spans="1:21" x14ac:dyDescent="0.2">
      <c r="B79" s="58" t="s">
        <v>99</v>
      </c>
      <c r="C79" s="56"/>
      <c r="D79" s="56">
        <v>22045.827599519122</v>
      </c>
      <c r="E79" s="56">
        <v>17703.021964893334</v>
      </c>
      <c r="F79" s="56">
        <v>17421.257464893337</v>
      </c>
      <c r="G79" s="56">
        <v>17028.799464893338</v>
      </c>
      <c r="H79" s="56">
        <v>16343.374964893337</v>
      </c>
      <c r="I79" s="56">
        <v>17239.761964893336</v>
      </c>
      <c r="J79" s="56">
        <v>18532.882464893337</v>
      </c>
      <c r="K79" s="56">
        <v>22078.671964893336</v>
      </c>
      <c r="L79" s="56">
        <v>20153.342464893336</v>
      </c>
      <c r="M79" s="56">
        <v>18006.304964893337</v>
      </c>
      <c r="N79" s="56">
        <v>16909.072464893336</v>
      </c>
      <c r="O79" s="56">
        <v>18102.212964893337</v>
      </c>
      <c r="P79" s="56"/>
      <c r="Q79" s="57">
        <v>221564.53071334583</v>
      </c>
    </row>
    <row r="80" spans="1:21" ht="13.5" thickBot="1" x14ac:dyDescent="0.25">
      <c r="B80" s="59" t="s">
        <v>100</v>
      </c>
      <c r="C80" s="60"/>
      <c r="D80" s="60">
        <v>68980.49909349576</v>
      </c>
      <c r="E80" s="60">
        <v>54333.582730635244</v>
      </c>
      <c r="F80" s="60">
        <v>52650.674230635239</v>
      </c>
      <c r="G80" s="60">
        <v>50992.840230635236</v>
      </c>
      <c r="H80" s="60">
        <v>48586.501730635246</v>
      </c>
      <c r="I80" s="60">
        <v>51269.102730635248</v>
      </c>
      <c r="J80" s="60">
        <v>55327.149230635237</v>
      </c>
      <c r="K80" s="60">
        <v>74838.532730635241</v>
      </c>
      <c r="L80" s="60">
        <v>57361.629230635248</v>
      </c>
      <c r="M80" s="60">
        <v>53169.391730635252</v>
      </c>
      <c r="N80" s="60">
        <v>49882.419230635242</v>
      </c>
      <c r="O80" s="60">
        <v>52885.025730635243</v>
      </c>
      <c r="P80" s="60"/>
      <c r="Q80" s="60">
        <v>670277.3486304835</v>
      </c>
    </row>
    <row r="81" spans="1:18" s="52" customFormat="1" ht="28.5" customHeight="1" thickBot="1" x14ac:dyDescent="0.25">
      <c r="A81" s="50"/>
      <c r="B81" s="61" t="s">
        <v>101</v>
      </c>
      <c r="C81" s="62"/>
      <c r="D81" s="62">
        <v>166914.8142259568</v>
      </c>
      <c r="E81" s="62">
        <v>134220.90134004166</v>
      </c>
      <c r="F81" s="62">
        <v>132473.37134004166</v>
      </c>
      <c r="G81" s="62">
        <v>129727.25134004165</v>
      </c>
      <c r="H81" s="62">
        <v>124677.32134004164</v>
      </c>
      <c r="I81" s="62">
        <v>131524.50134004166</v>
      </c>
      <c r="J81" s="62">
        <v>141435.87134004166</v>
      </c>
      <c r="K81" s="62">
        <v>164161.90134004166</v>
      </c>
      <c r="L81" s="62">
        <v>155580.27134004165</v>
      </c>
      <c r="M81" s="62">
        <v>137807.52134004165</v>
      </c>
      <c r="N81" s="62">
        <v>129252.47134004167</v>
      </c>
      <c r="O81" s="62">
        <v>138786.64134004165</v>
      </c>
      <c r="P81" s="62"/>
      <c r="Q81" s="63">
        <v>1686562.838966415</v>
      </c>
      <c r="R81" s="4"/>
    </row>
    <row r="82" spans="1:18" ht="13.5" thickTop="1" x14ac:dyDescent="0.2">
      <c r="Q82" s="19"/>
      <c r="R82" s="52"/>
    </row>
    <row r="84" spans="1:18" x14ac:dyDescent="0.2">
      <c r="C84" s="29" t="s">
        <v>102</v>
      </c>
      <c r="D84" s="29" t="s">
        <v>103</v>
      </c>
      <c r="E84" s="29"/>
      <c r="F84" s="29" t="s">
        <v>2</v>
      </c>
    </row>
    <row r="85" spans="1:18" x14ac:dyDescent="0.2">
      <c r="B85" s="22" t="s">
        <v>104</v>
      </c>
      <c r="C85" s="12">
        <v>1091085.5360082311</v>
      </c>
      <c r="D85" s="12">
        <v>89771.128947475459</v>
      </c>
      <c r="F85" s="12">
        <v>772700</v>
      </c>
      <c r="G85" s="26"/>
      <c r="H85" s="26"/>
      <c r="I85" s="26"/>
    </row>
    <row r="86" spans="1:18" x14ac:dyDescent="0.2">
      <c r="B86" s="22" t="s">
        <v>105</v>
      </c>
      <c r="C86" s="12">
        <v>588316.29139620019</v>
      </c>
      <c r="D86" s="12">
        <v>1289422.6400266835</v>
      </c>
      <c r="F86" s="12">
        <v>995796</v>
      </c>
    </row>
    <row r="87" spans="1:18" x14ac:dyDescent="0.2">
      <c r="B87" s="22" t="s">
        <v>106</v>
      </c>
      <c r="C87" s="12">
        <v>421753.51433079998</v>
      </c>
      <c r="D87" s="12">
        <v>675233.00504414586</v>
      </c>
      <c r="F87" s="12">
        <v>357299.15999999992</v>
      </c>
    </row>
    <row r="88" spans="1:18" x14ac:dyDescent="0.2">
      <c r="B88" s="22" t="s">
        <v>107</v>
      </c>
      <c r="C88" s="12">
        <v>80205.454800000007</v>
      </c>
      <c r="D88" s="12">
        <v>84800.454800000007</v>
      </c>
    </row>
    <row r="89" spans="1:18" x14ac:dyDescent="0.2">
      <c r="B89" s="22" t="s">
        <v>108</v>
      </c>
      <c r="C89" s="12">
        <v>328177.35078439995</v>
      </c>
      <c r="D89" s="12">
        <v>1054440.0933013263</v>
      </c>
      <c r="F89" s="12">
        <v>7200</v>
      </c>
    </row>
    <row r="90" spans="1:18" x14ac:dyDescent="0.2">
      <c r="B90" s="22" t="s">
        <v>109</v>
      </c>
      <c r="C90" s="12">
        <v>1708005.7471436001</v>
      </c>
      <c r="D90" s="12">
        <v>1772252.7071436001</v>
      </c>
      <c r="F90" s="12">
        <v>2390029.12</v>
      </c>
    </row>
    <row r="91" spans="1:18" x14ac:dyDescent="0.2">
      <c r="B91" s="25" t="s">
        <v>54</v>
      </c>
      <c r="C91" s="29">
        <v>4217543.8944632318</v>
      </c>
      <c r="D91" s="29">
        <v>4965920.029263231</v>
      </c>
      <c r="E91" s="29"/>
      <c r="F91" s="29">
        <v>4523024.28</v>
      </c>
    </row>
  </sheetData>
  <mergeCells count="3">
    <mergeCell ref="A2:Q2"/>
    <mergeCell ref="A3:Q3"/>
    <mergeCell ref="B31:D31"/>
  </mergeCells>
  <pageMargins left="0.51181102362204722" right="0.51181102362204722" top="0.51181102362204722" bottom="0.51181102362204722" header="0.51181102362204722" footer="0.51181102362204722"/>
  <pageSetup scale="65" fitToHeight="0" orientation="landscape" r:id="rId1"/>
  <headerFooter alignWithMargins="0">
    <oddFooter>&amp;L&amp;F&amp;R&amp;D</oddFooter>
  </headerFooter>
  <rowBreaks count="1" manualBreakCount="1">
    <brk id="33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G39" sqref="G39"/>
    </sheetView>
  </sheetViews>
  <sheetFormatPr defaultColWidth="9.140625" defaultRowHeight="12.75" x14ac:dyDescent="0.2"/>
  <cols>
    <col min="1" max="1" width="5.7109375" style="70" customWidth="1"/>
    <col min="2" max="2" width="1.42578125" style="70" bestFit="1" customWidth="1"/>
    <col min="3" max="3" width="17.5703125" style="70" bestFit="1" customWidth="1"/>
    <col min="4" max="5" width="9.28515625" style="70" bestFit="1" customWidth="1"/>
    <col min="6" max="6" width="9.7109375" style="70" bestFit="1" customWidth="1"/>
    <col min="7" max="7" width="9.28515625" style="70" bestFit="1" customWidth="1"/>
    <col min="8" max="8" width="9.7109375" style="70" bestFit="1" customWidth="1"/>
    <col min="9" max="11" width="9.28515625" style="70" bestFit="1" customWidth="1"/>
    <col min="12" max="12" width="9.7109375" style="70" bestFit="1" customWidth="1"/>
    <col min="13" max="13" width="9.28515625" style="70" bestFit="1" customWidth="1"/>
    <col min="14" max="15" width="9.7109375" style="70" bestFit="1" customWidth="1"/>
    <col min="16" max="16" width="4" style="70" customWidth="1"/>
    <col min="17" max="17" width="10.7109375" style="70" bestFit="1" customWidth="1"/>
    <col min="18" max="16384" width="9.140625" style="70"/>
  </cols>
  <sheetData>
    <row r="1" spans="1:23" ht="15.75" x14ac:dyDescent="0.25">
      <c r="A1" s="95" t="s">
        <v>122</v>
      </c>
      <c r="D1" s="69">
        <v>45383</v>
      </c>
      <c r="E1" s="69">
        <v>45413</v>
      </c>
      <c r="F1" s="69">
        <v>45444</v>
      </c>
      <c r="G1" s="69">
        <v>45474</v>
      </c>
      <c r="H1" s="69">
        <v>45505</v>
      </c>
      <c r="I1" s="69">
        <v>45536</v>
      </c>
      <c r="J1" s="69">
        <v>45566</v>
      </c>
      <c r="K1" s="69">
        <v>45597</v>
      </c>
      <c r="L1" s="69">
        <v>45627</v>
      </c>
      <c r="M1" s="69">
        <v>45658</v>
      </c>
      <c r="N1" s="69">
        <v>45689</v>
      </c>
      <c r="O1" s="69">
        <v>45717</v>
      </c>
      <c r="Q1" s="96" t="s">
        <v>54</v>
      </c>
      <c r="R1" s="79"/>
      <c r="S1" s="79"/>
      <c r="T1" s="79"/>
      <c r="U1" s="79"/>
      <c r="V1" s="79"/>
      <c r="W1" s="79"/>
    </row>
    <row r="2" spans="1:23" x14ac:dyDescent="0.2">
      <c r="B2" s="71" t="s">
        <v>110</v>
      </c>
      <c r="C2" s="71"/>
      <c r="D2" s="71"/>
      <c r="Q2" s="79"/>
      <c r="R2" s="79"/>
      <c r="S2" s="79"/>
      <c r="T2" s="79"/>
      <c r="U2" s="79"/>
      <c r="V2" s="79"/>
      <c r="W2" s="79"/>
    </row>
    <row r="3" spans="1:23" x14ac:dyDescent="0.2">
      <c r="B3" s="73" t="s">
        <v>68</v>
      </c>
      <c r="C3" s="106" t="s">
        <v>111</v>
      </c>
      <c r="D3" s="74">
        <v>45300</v>
      </c>
      <c r="E3" s="74">
        <v>405300</v>
      </c>
      <c r="F3" s="74">
        <v>74300</v>
      </c>
      <c r="G3" s="74">
        <v>74800</v>
      </c>
      <c r="H3" s="66">
        <v>46000</v>
      </c>
      <c r="I3" s="66">
        <v>154800</v>
      </c>
      <c r="J3" s="66">
        <v>106800</v>
      </c>
      <c r="K3" s="66">
        <v>213600</v>
      </c>
      <c r="L3" s="66">
        <v>146800</v>
      </c>
      <c r="M3" s="66">
        <v>107800</v>
      </c>
      <c r="N3" s="66">
        <v>30800</v>
      </c>
      <c r="O3" s="66">
        <v>58500</v>
      </c>
      <c r="P3" s="66"/>
      <c r="Q3" s="68">
        <f>SUM(D3:P3)</f>
        <v>1464800</v>
      </c>
      <c r="R3" s="68"/>
      <c r="S3" s="79"/>
      <c r="T3" s="79"/>
      <c r="U3" s="79"/>
      <c r="V3" s="79"/>
      <c r="W3" s="79"/>
    </row>
    <row r="4" spans="1:23" x14ac:dyDescent="0.2">
      <c r="B4" s="73" t="s">
        <v>68</v>
      </c>
      <c r="C4" s="106" t="s">
        <v>112</v>
      </c>
      <c r="D4" s="74">
        <v>133448</v>
      </c>
      <c r="E4" s="74">
        <v>133448</v>
      </c>
      <c r="F4" s="74">
        <v>133448</v>
      </c>
      <c r="G4" s="74">
        <v>133448</v>
      </c>
      <c r="H4" s="66">
        <v>133448</v>
      </c>
      <c r="I4" s="66">
        <v>133448</v>
      </c>
      <c r="J4" s="66">
        <v>133448</v>
      </c>
      <c r="K4" s="66">
        <v>133448</v>
      </c>
      <c r="L4" s="66">
        <v>133448</v>
      </c>
      <c r="M4" s="66">
        <v>133448</v>
      </c>
      <c r="N4" s="66">
        <v>133448</v>
      </c>
      <c r="O4" s="66">
        <v>133451</v>
      </c>
      <c r="P4" s="66"/>
      <c r="Q4" s="68">
        <f t="shared" ref="Q4:Q19" si="0">SUM(D4:P4)</f>
        <v>1601379</v>
      </c>
      <c r="R4" s="68"/>
      <c r="S4" s="79"/>
      <c r="T4" s="79"/>
      <c r="U4" s="79"/>
      <c r="V4" s="79"/>
      <c r="W4" s="79"/>
    </row>
    <row r="5" spans="1:23" x14ac:dyDescent="0.2">
      <c r="B5" s="64"/>
      <c r="C5" s="105" t="s">
        <v>113</v>
      </c>
      <c r="D5" s="76">
        <v>18574.919999999998</v>
      </c>
      <c r="E5" s="74">
        <v>18574.919999999998</v>
      </c>
      <c r="F5" s="74">
        <v>18574.919999999998</v>
      </c>
      <c r="G5" s="74">
        <v>18574.919999999998</v>
      </c>
      <c r="H5" s="66">
        <v>18574.919999999998</v>
      </c>
      <c r="I5" s="66">
        <v>18574.919999999998</v>
      </c>
      <c r="J5" s="66">
        <v>18574.919999999998</v>
      </c>
      <c r="K5" s="66">
        <v>18574.919999999998</v>
      </c>
      <c r="L5" s="66">
        <v>18574.919999999998</v>
      </c>
      <c r="M5" s="66">
        <v>18574.919999999998</v>
      </c>
      <c r="N5" s="66">
        <v>18574.919999999998</v>
      </c>
      <c r="O5" s="66">
        <v>18574.88</v>
      </c>
      <c r="P5" s="66"/>
      <c r="Q5" s="68">
        <f t="shared" si="0"/>
        <v>222898.99999999994</v>
      </c>
      <c r="R5" s="68"/>
      <c r="S5" s="79"/>
      <c r="T5" s="79"/>
      <c r="U5" s="79"/>
      <c r="V5" s="79"/>
      <c r="W5" s="79"/>
    </row>
    <row r="6" spans="1:23" x14ac:dyDescent="0.2">
      <c r="B6" s="73" t="s">
        <v>68</v>
      </c>
      <c r="C6" s="106" t="s">
        <v>114</v>
      </c>
      <c r="D6" s="74">
        <v>130750</v>
      </c>
      <c r="E6" s="74">
        <v>0</v>
      </c>
      <c r="F6" s="74">
        <v>0</v>
      </c>
      <c r="G6" s="74">
        <v>130750</v>
      </c>
      <c r="H6" s="66">
        <v>0</v>
      </c>
      <c r="I6" s="66">
        <v>0</v>
      </c>
      <c r="J6" s="66">
        <v>130750</v>
      </c>
      <c r="K6" s="66">
        <v>0</v>
      </c>
      <c r="L6" s="66">
        <v>0</v>
      </c>
      <c r="M6" s="66">
        <v>130750</v>
      </c>
      <c r="N6" s="66">
        <v>0</v>
      </c>
      <c r="O6" s="66">
        <v>0</v>
      </c>
      <c r="P6" s="66"/>
      <c r="Q6" s="68">
        <f t="shared" si="0"/>
        <v>523000</v>
      </c>
      <c r="R6" s="68"/>
      <c r="S6" s="79"/>
      <c r="T6" s="79"/>
      <c r="U6" s="79"/>
      <c r="V6" s="79"/>
      <c r="W6" s="79"/>
    </row>
    <row r="7" spans="1:23" x14ac:dyDescent="0.2">
      <c r="B7" s="73" t="s">
        <v>68</v>
      </c>
      <c r="C7" s="106" t="s">
        <v>115</v>
      </c>
      <c r="D7" s="74">
        <v>73724</v>
      </c>
      <c r="E7" s="74">
        <v>0</v>
      </c>
      <c r="F7" s="74">
        <v>0</v>
      </c>
      <c r="G7" s="74">
        <v>73724</v>
      </c>
      <c r="H7" s="66">
        <v>0</v>
      </c>
      <c r="I7" s="66">
        <v>0</v>
      </c>
      <c r="J7" s="66">
        <v>73724</v>
      </c>
      <c r="K7" s="66">
        <v>0</v>
      </c>
      <c r="L7" s="66">
        <v>0</v>
      </c>
      <c r="M7" s="66">
        <v>73724</v>
      </c>
      <c r="N7" s="66">
        <v>0</v>
      </c>
      <c r="O7" s="66">
        <v>0</v>
      </c>
      <c r="P7" s="66"/>
      <c r="Q7" s="68">
        <f t="shared" si="0"/>
        <v>294896</v>
      </c>
      <c r="R7" s="68"/>
      <c r="S7" s="79"/>
      <c r="T7" s="79"/>
      <c r="U7" s="79"/>
      <c r="V7" s="79"/>
      <c r="W7" s="79"/>
    </row>
    <row r="8" spans="1:23" x14ac:dyDescent="0.2">
      <c r="B8" s="64"/>
      <c r="C8" s="106" t="s">
        <v>125</v>
      </c>
      <c r="D8" s="74">
        <v>0</v>
      </c>
      <c r="E8" s="74">
        <v>0</v>
      </c>
      <c r="F8" s="74">
        <v>0</v>
      </c>
      <c r="G8" s="74">
        <v>55000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0</v>
      </c>
      <c r="N8" s="66">
        <v>0</v>
      </c>
      <c r="O8" s="66">
        <v>0</v>
      </c>
      <c r="P8" s="66"/>
      <c r="Q8" s="68">
        <f t="shared" si="0"/>
        <v>55000</v>
      </c>
      <c r="R8" s="68"/>
      <c r="S8" s="79"/>
      <c r="T8" s="79"/>
      <c r="U8" s="79"/>
      <c r="V8" s="79"/>
      <c r="W8" s="79"/>
    </row>
    <row r="9" spans="1:23" x14ac:dyDescent="0.2">
      <c r="B9" s="73" t="s">
        <v>68</v>
      </c>
      <c r="C9" s="105" t="s">
        <v>46</v>
      </c>
      <c r="D9" s="74">
        <v>13250</v>
      </c>
      <c r="E9" s="74">
        <v>10750</v>
      </c>
      <c r="F9" s="74">
        <v>16300</v>
      </c>
      <c r="G9" s="74">
        <v>10750</v>
      </c>
      <c r="H9" s="66">
        <v>10750</v>
      </c>
      <c r="I9" s="66">
        <v>13300</v>
      </c>
      <c r="J9" s="66">
        <v>10750</v>
      </c>
      <c r="K9" s="66">
        <v>10750</v>
      </c>
      <c r="L9" s="66">
        <v>15800</v>
      </c>
      <c r="M9" s="66">
        <v>13250</v>
      </c>
      <c r="N9" s="66">
        <v>10750</v>
      </c>
      <c r="O9" s="66">
        <v>10750</v>
      </c>
      <c r="P9" s="66"/>
      <c r="Q9" s="68">
        <f t="shared" si="0"/>
        <v>147150</v>
      </c>
      <c r="R9" s="68"/>
      <c r="S9" s="79"/>
      <c r="T9" s="79"/>
      <c r="U9" s="79"/>
      <c r="V9" s="79"/>
      <c r="W9" s="79"/>
    </row>
    <row r="10" spans="1:23" ht="13.5" thickBot="1" x14ac:dyDescent="0.25">
      <c r="B10" s="64"/>
      <c r="C10" s="105" t="s">
        <v>38</v>
      </c>
      <c r="D10" s="74">
        <v>26700</v>
      </c>
      <c r="E10" s="74">
        <v>100200</v>
      </c>
      <c r="F10" s="74">
        <v>200</v>
      </c>
      <c r="G10" s="77">
        <v>7700</v>
      </c>
      <c r="H10" s="66">
        <v>5200</v>
      </c>
      <c r="I10" s="66">
        <v>6200</v>
      </c>
      <c r="J10" s="66">
        <v>20200</v>
      </c>
      <c r="K10" s="66">
        <v>45200</v>
      </c>
      <c r="L10" s="66">
        <v>700</v>
      </c>
      <c r="M10" s="66">
        <v>200</v>
      </c>
      <c r="N10" s="66">
        <v>200</v>
      </c>
      <c r="O10" s="66">
        <v>1200</v>
      </c>
      <c r="P10" s="66"/>
      <c r="Q10" s="68">
        <f t="shared" si="0"/>
        <v>213900</v>
      </c>
      <c r="R10" s="68"/>
      <c r="S10" s="79"/>
      <c r="T10" s="79"/>
      <c r="U10" s="79"/>
      <c r="V10" s="79"/>
      <c r="W10" s="79"/>
    </row>
    <row r="11" spans="1:23" ht="13.5" thickBot="1" x14ac:dyDescent="0.25">
      <c r="B11" s="73" t="s">
        <v>68</v>
      </c>
      <c r="C11" s="107" t="s">
        <v>116</v>
      </c>
      <c r="D11" s="81">
        <f t="shared" ref="D11:O11" si="1">SUM(D3:D10)</f>
        <v>441746.92</v>
      </c>
      <c r="E11" s="81">
        <f t="shared" si="1"/>
        <v>668272.92000000004</v>
      </c>
      <c r="F11" s="81">
        <f t="shared" si="1"/>
        <v>242822.91999999998</v>
      </c>
      <c r="G11" s="81">
        <f t="shared" si="1"/>
        <v>504746.92</v>
      </c>
      <c r="H11" s="81">
        <f t="shared" si="1"/>
        <v>213972.91999999998</v>
      </c>
      <c r="I11" s="81">
        <f t="shared" si="1"/>
        <v>326322.92</v>
      </c>
      <c r="J11" s="81">
        <f t="shared" si="1"/>
        <v>494246.92</v>
      </c>
      <c r="K11" s="81">
        <f t="shared" si="1"/>
        <v>421572.92</v>
      </c>
      <c r="L11" s="81">
        <f t="shared" si="1"/>
        <v>315322.92</v>
      </c>
      <c r="M11" s="81">
        <f t="shared" si="1"/>
        <v>477746.92</v>
      </c>
      <c r="N11" s="81">
        <f t="shared" si="1"/>
        <v>193772.91999999998</v>
      </c>
      <c r="O11" s="81">
        <f t="shared" si="1"/>
        <v>222475.88</v>
      </c>
      <c r="P11" s="83"/>
      <c r="Q11" s="81">
        <f t="shared" si="0"/>
        <v>4523024</v>
      </c>
      <c r="R11" s="84"/>
      <c r="S11" s="84"/>
      <c r="T11" s="84"/>
      <c r="U11" s="87"/>
      <c r="V11" s="79"/>
      <c r="W11" s="79"/>
    </row>
    <row r="12" spans="1:23" x14ac:dyDescent="0.2">
      <c r="B12" s="86"/>
      <c r="C12" s="86"/>
      <c r="D12" s="86"/>
      <c r="Q12" s="68"/>
      <c r="S12" s="87"/>
      <c r="T12" s="87"/>
      <c r="U12" s="85"/>
    </row>
    <row r="13" spans="1:23" x14ac:dyDescent="0.2">
      <c r="B13" s="71" t="s">
        <v>117</v>
      </c>
      <c r="C13" s="71"/>
      <c r="D13" s="71"/>
      <c r="Q13" s="68"/>
      <c r="S13" s="87"/>
      <c r="T13" s="87"/>
      <c r="U13" s="85"/>
    </row>
    <row r="14" spans="1:23" x14ac:dyDescent="0.2">
      <c r="B14" s="64"/>
      <c r="C14" s="73" t="s">
        <v>55</v>
      </c>
      <c r="D14" s="76">
        <v>339008.57</v>
      </c>
      <c r="E14" s="74">
        <v>350735.22</v>
      </c>
      <c r="F14" s="74">
        <v>339279.22</v>
      </c>
      <c r="G14" s="74">
        <v>350735.22</v>
      </c>
      <c r="H14" s="66">
        <v>339279.22</v>
      </c>
      <c r="I14" s="66">
        <v>354937.22</v>
      </c>
      <c r="J14" s="66">
        <v>344351.22</v>
      </c>
      <c r="K14" s="66">
        <v>355807.22</v>
      </c>
      <c r="L14" s="66">
        <v>344351.22</v>
      </c>
      <c r="M14" s="66">
        <v>344351.22</v>
      </c>
      <c r="N14" s="66">
        <v>344351.22</v>
      </c>
      <c r="O14" s="66">
        <v>355807.23</v>
      </c>
      <c r="P14" s="66"/>
      <c r="Q14" s="68">
        <f t="shared" si="0"/>
        <v>4162993.9999999986</v>
      </c>
      <c r="R14" s="66"/>
      <c r="S14" s="87"/>
      <c r="T14" s="87"/>
      <c r="U14" s="85"/>
    </row>
    <row r="15" spans="1:23" x14ac:dyDescent="0.2">
      <c r="B15" s="64"/>
      <c r="C15" s="64" t="s">
        <v>118</v>
      </c>
      <c r="D15" s="76">
        <v>6267</v>
      </c>
      <c r="E15" s="74">
        <v>4553</v>
      </c>
      <c r="F15" s="74">
        <v>5353</v>
      </c>
      <c r="G15" s="74">
        <v>6303</v>
      </c>
      <c r="H15" s="66">
        <v>9203</v>
      </c>
      <c r="I15" s="66">
        <v>8803</v>
      </c>
      <c r="J15" s="66">
        <v>10803</v>
      </c>
      <c r="K15" s="66">
        <v>8053</v>
      </c>
      <c r="L15" s="66">
        <v>5353</v>
      </c>
      <c r="M15" s="66">
        <v>16503</v>
      </c>
      <c r="N15" s="66">
        <v>4603</v>
      </c>
      <c r="O15" s="66">
        <v>8803</v>
      </c>
      <c r="P15" s="66"/>
      <c r="Q15" s="68">
        <f t="shared" si="0"/>
        <v>94600</v>
      </c>
      <c r="R15" s="66"/>
      <c r="S15" s="87"/>
      <c r="T15" s="87"/>
      <c r="U15" s="85"/>
    </row>
    <row r="16" spans="1:23" x14ac:dyDescent="0.2">
      <c r="B16" s="64"/>
      <c r="C16" s="64" t="s">
        <v>59</v>
      </c>
      <c r="D16" s="76">
        <v>5761</v>
      </c>
      <c r="E16" s="74">
        <v>5761</v>
      </c>
      <c r="F16" s="74">
        <v>5761</v>
      </c>
      <c r="G16" s="74">
        <v>5761</v>
      </c>
      <c r="H16" s="66">
        <v>5761</v>
      </c>
      <c r="I16" s="66">
        <v>5761</v>
      </c>
      <c r="J16" s="66">
        <v>5761</v>
      </c>
      <c r="K16" s="66">
        <v>5761</v>
      </c>
      <c r="L16" s="66">
        <v>5761</v>
      </c>
      <c r="M16" s="66">
        <v>5761</v>
      </c>
      <c r="N16" s="66">
        <v>5761</v>
      </c>
      <c r="O16" s="66">
        <v>5761</v>
      </c>
      <c r="P16" s="66"/>
      <c r="Q16" s="68">
        <f t="shared" si="0"/>
        <v>69132</v>
      </c>
      <c r="R16" s="66"/>
      <c r="S16" s="87"/>
      <c r="T16" s="87"/>
      <c r="U16" s="85"/>
    </row>
    <row r="17" spans="2:21" ht="13.5" thickBot="1" x14ac:dyDescent="0.25">
      <c r="B17" s="64"/>
      <c r="C17" s="88" t="s">
        <v>119</v>
      </c>
      <c r="D17" s="89">
        <v>81792</v>
      </c>
      <c r="E17" s="91">
        <v>50651</v>
      </c>
      <c r="F17" s="91">
        <v>50580</v>
      </c>
      <c r="G17" s="91">
        <v>44987</v>
      </c>
      <c r="H17" s="65">
        <v>40558</v>
      </c>
      <c r="I17" s="65">
        <v>44060</v>
      </c>
      <c r="J17" s="66">
        <v>56305</v>
      </c>
      <c r="K17" s="66">
        <v>79069</v>
      </c>
      <c r="L17" s="66">
        <v>68098</v>
      </c>
      <c r="M17" s="66">
        <v>47167</v>
      </c>
      <c r="N17" s="66">
        <v>47945</v>
      </c>
      <c r="O17" s="66">
        <v>50915</v>
      </c>
      <c r="P17" s="66"/>
      <c r="Q17" s="68">
        <f t="shared" si="0"/>
        <v>662127</v>
      </c>
      <c r="R17" s="66"/>
      <c r="S17" s="87"/>
      <c r="T17" s="87"/>
      <c r="U17" s="85"/>
    </row>
    <row r="18" spans="2:21" ht="13.5" thickBot="1" x14ac:dyDescent="0.25">
      <c r="B18" s="73" t="s">
        <v>68</v>
      </c>
      <c r="C18" s="80" t="s">
        <v>120</v>
      </c>
      <c r="D18" s="92">
        <f t="shared" ref="D18:O18" si="2">SUM(D14:D17)</f>
        <v>432828.57</v>
      </c>
      <c r="E18" s="92">
        <f t="shared" si="2"/>
        <v>411700.22</v>
      </c>
      <c r="F18" s="92">
        <f t="shared" si="2"/>
        <v>400973.22</v>
      </c>
      <c r="G18" s="92">
        <f t="shared" si="2"/>
        <v>407786.22</v>
      </c>
      <c r="H18" s="92">
        <f t="shared" si="2"/>
        <v>394801.22</v>
      </c>
      <c r="I18" s="92">
        <f t="shared" si="2"/>
        <v>413561.22</v>
      </c>
      <c r="J18" s="92">
        <f t="shared" si="2"/>
        <v>417220.22</v>
      </c>
      <c r="K18" s="92">
        <f t="shared" si="2"/>
        <v>448690.22</v>
      </c>
      <c r="L18" s="92">
        <f t="shared" si="2"/>
        <v>423563.22</v>
      </c>
      <c r="M18" s="92">
        <f t="shared" si="2"/>
        <v>413782.22</v>
      </c>
      <c r="N18" s="92">
        <f t="shared" si="2"/>
        <v>402660.22</v>
      </c>
      <c r="O18" s="92">
        <f t="shared" si="2"/>
        <v>421286.23</v>
      </c>
      <c r="P18" s="84"/>
      <c r="Q18" s="92">
        <f t="shared" si="0"/>
        <v>4988852.9999999981</v>
      </c>
      <c r="R18" s="84"/>
      <c r="S18" s="84"/>
      <c r="T18" s="84"/>
      <c r="U18" s="85"/>
    </row>
    <row r="19" spans="2:21" ht="13.5" thickBot="1" x14ac:dyDescent="0.25">
      <c r="B19" s="214" t="s">
        <v>121</v>
      </c>
      <c r="C19" s="214"/>
      <c r="D19" s="93">
        <f t="shared" ref="D19:O19" si="3">D11-D18</f>
        <v>8918.3499999999767</v>
      </c>
      <c r="E19" s="93">
        <f t="shared" si="3"/>
        <v>256572.70000000007</v>
      </c>
      <c r="F19" s="93">
        <f t="shared" si="3"/>
        <v>-158150.29999999999</v>
      </c>
      <c r="G19" s="93">
        <f t="shared" si="3"/>
        <v>96960.700000000012</v>
      </c>
      <c r="H19" s="93">
        <f t="shared" si="3"/>
        <v>-180828.3</v>
      </c>
      <c r="I19" s="93">
        <f t="shared" si="3"/>
        <v>-87238.299999999988</v>
      </c>
      <c r="J19" s="93">
        <f t="shared" si="3"/>
        <v>77026.700000000012</v>
      </c>
      <c r="K19" s="93">
        <f t="shared" si="3"/>
        <v>-27117.299999999988</v>
      </c>
      <c r="L19" s="93">
        <f t="shared" si="3"/>
        <v>-108240.29999999999</v>
      </c>
      <c r="M19" s="93">
        <f t="shared" si="3"/>
        <v>63964.700000000012</v>
      </c>
      <c r="N19" s="93">
        <f t="shared" si="3"/>
        <v>-208887.3</v>
      </c>
      <c r="O19" s="93">
        <f t="shared" si="3"/>
        <v>-198810.34999999998</v>
      </c>
      <c r="P19" s="83"/>
      <c r="Q19" s="93">
        <f t="shared" si="0"/>
        <v>-465828.99999999983</v>
      </c>
      <c r="R19" s="83"/>
      <c r="S19" s="87"/>
      <c r="T19" s="87"/>
      <c r="U19" s="85"/>
    </row>
    <row r="20" spans="2:21" x14ac:dyDescent="0.2">
      <c r="S20" s="87"/>
      <c r="T20" s="87"/>
      <c r="U20" s="85"/>
    </row>
    <row r="21" spans="2:21" x14ac:dyDescent="0.2">
      <c r="S21" s="87"/>
      <c r="T21" s="87"/>
      <c r="U21" s="85"/>
    </row>
    <row r="22" spans="2:21" x14ac:dyDescent="0.2">
      <c r="D22" s="187">
        <f>D18-'Rolling Budget'!C18</f>
        <v>0</v>
      </c>
      <c r="E22" s="187">
        <f>E18-'Rolling Budget'!E18</f>
        <v>0</v>
      </c>
      <c r="F22" s="187">
        <f>F18-'Rolling Budget'!G18</f>
        <v>0</v>
      </c>
      <c r="G22" s="187">
        <f>G18-'Rolling Budget'!I18</f>
        <v>0</v>
      </c>
      <c r="H22" s="187">
        <f>H18-'Rolling Budget'!K18</f>
        <v>0</v>
      </c>
      <c r="I22" s="187">
        <f>I18-'Rolling Budget'!M18</f>
        <v>0</v>
      </c>
      <c r="J22" s="187">
        <f>J18-'Rolling Budget'!O18</f>
        <v>0</v>
      </c>
      <c r="K22" s="187">
        <f>K18-'Rolling Budget'!Q18</f>
        <v>0</v>
      </c>
      <c r="L22" s="187">
        <f>L18-'Rolling Budget'!S18</f>
        <v>0</v>
      </c>
      <c r="M22" s="187">
        <f>M18-'Rolling Budget'!U18</f>
        <v>0</v>
      </c>
      <c r="N22" s="187">
        <f>N18-'Rolling Budget'!W18</f>
        <v>0</v>
      </c>
      <c r="O22" s="187">
        <f>O18-'Rolling Budget'!Y18</f>
        <v>0</v>
      </c>
      <c r="S22" s="87"/>
      <c r="T22" s="87"/>
      <c r="U22" s="85"/>
    </row>
    <row r="23" spans="2:21" x14ac:dyDescent="0.2">
      <c r="S23" s="85"/>
      <c r="T23" s="85"/>
      <c r="U23" s="85"/>
    </row>
    <row r="24" spans="2:21" x14ac:dyDescent="0.2">
      <c r="S24" s="85"/>
      <c r="T24" s="85"/>
      <c r="U24" s="85"/>
    </row>
  </sheetData>
  <mergeCells count="1">
    <mergeCell ref="B19:C1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G23"/>
  <sheetViews>
    <sheetView topLeftCell="I1" zoomScaleNormal="100" workbookViewId="0">
      <selection activeCell="O14" sqref="O14:O17"/>
    </sheetView>
  </sheetViews>
  <sheetFormatPr defaultColWidth="9.140625" defaultRowHeight="15" customHeight="1" x14ac:dyDescent="0.2"/>
  <cols>
    <col min="1" max="1" width="3.28515625" style="70" customWidth="1"/>
    <col min="2" max="2" width="18.7109375" style="70" bestFit="1" customWidth="1"/>
    <col min="3" max="3" width="11.28515625" style="70" bestFit="1" customWidth="1"/>
    <col min="4" max="6" width="10" style="70" bestFit="1" customWidth="1"/>
    <col min="7" max="8" width="10.5703125" style="70" bestFit="1" customWidth="1"/>
    <col min="9" max="10" width="10" style="70" bestFit="1" customWidth="1"/>
    <col min="11" max="11" width="10.5703125" style="70" bestFit="1" customWidth="1"/>
    <col min="12" max="12" width="9.28515625" style="70" bestFit="1" customWidth="1"/>
    <col min="13" max="13" width="10.7109375" style="70" bestFit="1" customWidth="1"/>
    <col min="14" max="14" width="9.28515625" style="70" bestFit="1" customWidth="1"/>
    <col min="15" max="15" width="10" style="70" bestFit="1" customWidth="1"/>
    <col min="16" max="16" width="9.28515625" style="70" bestFit="1" customWidth="1"/>
    <col min="17" max="17" width="10" style="70" bestFit="1" customWidth="1"/>
    <col min="18" max="18" width="9.28515625" style="70" bestFit="1" customWidth="1"/>
    <col min="19" max="19" width="10.5703125" style="70" bestFit="1" customWidth="1"/>
    <col min="20" max="20" width="9.28515625" style="70" bestFit="1" customWidth="1"/>
    <col min="21" max="21" width="10" style="70" bestFit="1" customWidth="1"/>
    <col min="22" max="22" width="9.28515625" style="70" bestFit="1" customWidth="1"/>
    <col min="23" max="23" width="10.5703125" style="70" bestFit="1" customWidth="1"/>
    <col min="24" max="24" width="9.28515625" style="70" bestFit="1" customWidth="1"/>
    <col min="25" max="25" width="10.5703125" style="70" bestFit="1" customWidth="1"/>
    <col min="26" max="26" width="9.28515625" style="70" bestFit="1" customWidth="1"/>
    <col min="27" max="27" width="9.140625" style="70"/>
    <col min="28" max="29" width="15.7109375" style="70" customWidth="1"/>
    <col min="30" max="30" width="28.140625" style="70" bestFit="1" customWidth="1"/>
    <col min="31" max="16384" width="9.140625" style="70"/>
  </cols>
  <sheetData>
    <row r="1" spans="1:33" s="101" customFormat="1" ht="15" customHeight="1" x14ac:dyDescent="0.2">
      <c r="C1" s="102">
        <v>45383</v>
      </c>
      <c r="D1" s="103">
        <v>45383</v>
      </c>
      <c r="E1" s="102">
        <v>45413</v>
      </c>
      <c r="F1" s="103">
        <v>45413</v>
      </c>
      <c r="G1" s="102">
        <v>45444</v>
      </c>
      <c r="H1" s="103">
        <v>45444</v>
      </c>
      <c r="I1" s="102">
        <v>45474</v>
      </c>
      <c r="J1" s="103">
        <v>45474</v>
      </c>
      <c r="K1" s="102">
        <v>45505</v>
      </c>
      <c r="L1" s="103">
        <v>45505</v>
      </c>
      <c r="M1" s="102">
        <v>45536</v>
      </c>
      <c r="N1" s="103">
        <v>45536</v>
      </c>
      <c r="O1" s="102">
        <v>45566</v>
      </c>
      <c r="P1" s="103">
        <v>45566</v>
      </c>
      <c r="Q1" s="102">
        <v>45597</v>
      </c>
      <c r="R1" s="103">
        <v>45597</v>
      </c>
      <c r="S1" s="102">
        <v>45627</v>
      </c>
      <c r="T1" s="103">
        <v>45627</v>
      </c>
      <c r="U1" s="102">
        <v>45658</v>
      </c>
      <c r="V1" s="103">
        <v>45658</v>
      </c>
      <c r="W1" s="102">
        <v>45689</v>
      </c>
      <c r="X1" s="103">
        <v>45689</v>
      </c>
      <c r="Y1" s="102">
        <v>45717</v>
      </c>
      <c r="Z1" s="103">
        <v>45717</v>
      </c>
      <c r="AA1" s="102"/>
      <c r="AB1" s="101" t="s">
        <v>123</v>
      </c>
      <c r="AC1" s="101" t="s">
        <v>124</v>
      </c>
      <c r="AD1" s="101" t="s">
        <v>128</v>
      </c>
    </row>
    <row r="2" spans="1:33" ht="15" customHeight="1" x14ac:dyDescent="0.2">
      <c r="A2" s="71" t="s">
        <v>110</v>
      </c>
      <c r="B2" s="71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33" ht="15" customHeight="1" x14ac:dyDescent="0.2">
      <c r="A3" s="73" t="s">
        <v>68</v>
      </c>
      <c r="B3" s="73" t="s">
        <v>111</v>
      </c>
      <c r="C3" s="74">
        <v>45300</v>
      </c>
      <c r="D3" s="75">
        <v>33435.24</v>
      </c>
      <c r="E3" s="74">
        <v>405300</v>
      </c>
      <c r="F3" s="75">
        <v>379731.88</v>
      </c>
      <c r="G3" s="74">
        <v>74300</v>
      </c>
      <c r="H3" s="75">
        <v>40210.620000000003</v>
      </c>
      <c r="I3" s="74">
        <v>74800</v>
      </c>
      <c r="J3" s="75">
        <v>403769</v>
      </c>
      <c r="K3" s="66">
        <f>46000-20000</f>
        <v>26000</v>
      </c>
      <c r="L3" s="72">
        <v>0</v>
      </c>
      <c r="M3" s="66">
        <f>154800-20000+5000+4000</f>
        <v>143800</v>
      </c>
      <c r="N3" s="72">
        <v>0</v>
      </c>
      <c r="O3" s="66">
        <f>106800-5000</f>
        <v>101800</v>
      </c>
      <c r="P3" s="72">
        <v>0</v>
      </c>
      <c r="Q3" s="66">
        <f>213600-17000</f>
        <v>196600</v>
      </c>
      <c r="R3" s="72">
        <v>0</v>
      </c>
      <c r="S3" s="66">
        <v>146800</v>
      </c>
      <c r="T3" s="72">
        <v>0</v>
      </c>
      <c r="U3" s="66">
        <v>107800</v>
      </c>
      <c r="V3" s="72">
        <v>0</v>
      </c>
      <c r="W3" s="66">
        <v>30800</v>
      </c>
      <c r="X3" s="72">
        <v>0</v>
      </c>
      <c r="Y3" s="66">
        <v>58500</v>
      </c>
      <c r="Z3" s="72">
        <v>0</v>
      </c>
      <c r="AA3" s="66"/>
      <c r="AB3" s="66">
        <f>'Simplified Budget'!Q3</f>
        <v>1464800</v>
      </c>
      <c r="AC3" s="66">
        <f>C3+E3+G3+I3+K3+M3+O3+Q3+S3+U3+W3+Y3</f>
        <v>1411800</v>
      </c>
      <c r="AD3" s="66">
        <f>IF(D3=0,C3,D3)+IF(F3=0,E3,F3)+IF(H3=0,G3,H3)+IF(J3=0,I3,J3)+IF(L3=0,K3,L3)+IF(N3=0,M3,N3)+IF(P3=0,O3,P3)+IF(R3=0,Q3,R3)+IF(T3=0,S3,T3)+IF(V3=0,U3,V3)+IF(X3=0,W3,X3)+IF(Z3=0,Y3,Z3)</f>
        <v>1669246.74</v>
      </c>
    </row>
    <row r="4" spans="1:33" ht="15" customHeight="1" x14ac:dyDescent="0.2">
      <c r="A4" s="73" t="s">
        <v>68</v>
      </c>
      <c r="B4" s="64" t="s">
        <v>112</v>
      </c>
      <c r="C4" s="74">
        <v>133448</v>
      </c>
      <c r="D4" s="75">
        <v>139348.85999999999</v>
      </c>
      <c r="E4" s="74">
        <v>133448</v>
      </c>
      <c r="F4" s="75">
        <v>139360.41</v>
      </c>
      <c r="G4" s="74">
        <v>133448</v>
      </c>
      <c r="H4" s="75">
        <v>139348.85999999999</v>
      </c>
      <c r="I4" s="74">
        <v>133448</v>
      </c>
      <c r="J4" s="75">
        <v>139360.41</v>
      </c>
      <c r="K4" s="66">
        <v>133448</v>
      </c>
      <c r="L4" s="72">
        <v>0</v>
      </c>
      <c r="M4" s="66">
        <f>(133448*1.02)+(133448*5*0.02)</f>
        <v>149461.75999999998</v>
      </c>
      <c r="N4" s="72">
        <v>0</v>
      </c>
      <c r="O4" s="66">
        <f>133448*1.02</f>
        <v>136116.96</v>
      </c>
      <c r="P4" s="72">
        <v>0</v>
      </c>
      <c r="Q4" s="66">
        <f>133448*1.02</f>
        <v>136116.96</v>
      </c>
      <c r="R4" s="72">
        <v>0</v>
      </c>
      <c r="S4" s="66">
        <f>133448*1.02</f>
        <v>136116.96</v>
      </c>
      <c r="T4" s="72">
        <v>0</v>
      </c>
      <c r="U4" s="66">
        <f>133448*1.02</f>
        <v>136116.96</v>
      </c>
      <c r="V4" s="72">
        <v>0</v>
      </c>
      <c r="W4" s="66">
        <f>133448*1.02</f>
        <v>136116.96</v>
      </c>
      <c r="X4" s="72">
        <v>0</v>
      </c>
      <c r="Y4" s="66">
        <f>133448*1.02</f>
        <v>136116.96</v>
      </c>
      <c r="Z4" s="72">
        <v>0</v>
      </c>
      <c r="AA4" s="66"/>
      <c r="AB4" s="66">
        <f>'Simplified Budget'!Q4</f>
        <v>1601379</v>
      </c>
      <c r="AC4" s="66">
        <f t="shared" ref="AC4:AC17" si="0">C4+E4+G4+I4+K4+M4+O4+Q4+S4+U4+W4+Y4</f>
        <v>1633403.5199999998</v>
      </c>
      <c r="AD4" s="66">
        <f t="shared" ref="AD4:AD17" si="1">IF(D4=0,C4,D4)+IF(F4=0,E4,F4)+IF(H4=0,G4,H4)+IF(J4=0,I4,J4)+IF(L4=0,K4,L4)+IF(N4=0,M4,N4)+IF(P4=0,O4,P4)+IF(R4=0,Q4,R4)+IF(T4=0,S4,T4)+IF(V4=0,U4,V4)+IF(X4=0,W4,X4)+IF(Z4=0,Y4,Z4)</f>
        <v>1657030.0599999998</v>
      </c>
      <c r="AE4" s="79"/>
    </row>
    <row r="5" spans="1:33" ht="15" customHeight="1" x14ac:dyDescent="0.2">
      <c r="A5" s="64"/>
      <c r="B5" s="73" t="s">
        <v>113</v>
      </c>
      <c r="C5" s="76">
        <v>18574.919999999998</v>
      </c>
      <c r="D5" s="75">
        <v>16160</v>
      </c>
      <c r="E5" s="74">
        <v>18574.919999999998</v>
      </c>
      <c r="F5" s="75">
        <v>16160</v>
      </c>
      <c r="G5" s="74">
        <v>18574.919999999998</v>
      </c>
      <c r="H5" s="75">
        <v>16160</v>
      </c>
      <c r="I5" s="74">
        <v>18574.919999999998</v>
      </c>
      <c r="J5" s="75">
        <v>16160</v>
      </c>
      <c r="K5" s="66">
        <v>18574.919999999998</v>
      </c>
      <c r="L5" s="72">
        <v>0</v>
      </c>
      <c r="M5" s="66">
        <v>18574.919999999998</v>
      </c>
      <c r="N5" s="72">
        <v>0</v>
      </c>
      <c r="O5" s="66">
        <v>18574.919999999998</v>
      </c>
      <c r="P5" s="72">
        <v>0</v>
      </c>
      <c r="Q5" s="66">
        <v>18574.919999999998</v>
      </c>
      <c r="R5" s="72">
        <v>0</v>
      </c>
      <c r="S5" s="66">
        <v>18574.919999999998</v>
      </c>
      <c r="T5" s="72">
        <v>0</v>
      </c>
      <c r="U5" s="66">
        <v>18574.919999999998</v>
      </c>
      <c r="V5" s="72">
        <v>0</v>
      </c>
      <c r="W5" s="66">
        <v>18574.919999999998</v>
      </c>
      <c r="X5" s="72">
        <v>0</v>
      </c>
      <c r="Y5" s="66">
        <v>18574.88</v>
      </c>
      <c r="Z5" s="72">
        <v>0</v>
      </c>
      <c r="AA5" s="66"/>
      <c r="AB5" s="66">
        <f>'Simplified Budget'!Q5</f>
        <v>222898.99999999994</v>
      </c>
      <c r="AC5" s="66">
        <f t="shared" si="0"/>
        <v>222898.99999999994</v>
      </c>
      <c r="AD5" s="66">
        <f t="shared" si="1"/>
        <v>213239.31999999995</v>
      </c>
      <c r="AE5" s="79"/>
    </row>
    <row r="6" spans="1:33" ht="15" customHeight="1" x14ac:dyDescent="0.2">
      <c r="A6" s="73" t="s">
        <v>68</v>
      </c>
      <c r="B6" s="64" t="s">
        <v>114</v>
      </c>
      <c r="C6" s="74">
        <v>130750</v>
      </c>
      <c r="D6" s="75">
        <v>130815.63</v>
      </c>
      <c r="E6" s="74">
        <v>0</v>
      </c>
      <c r="F6" s="75">
        <v>0</v>
      </c>
      <c r="G6" s="74">
        <v>0</v>
      </c>
      <c r="H6" s="75">
        <v>0</v>
      </c>
      <c r="I6" s="74">
        <v>130750</v>
      </c>
      <c r="J6" s="75">
        <v>130815.63</v>
      </c>
      <c r="K6" s="66">
        <v>0</v>
      </c>
      <c r="L6" s="72">
        <v>0</v>
      </c>
      <c r="M6" s="66">
        <v>0</v>
      </c>
      <c r="N6" s="72">
        <v>0</v>
      </c>
      <c r="O6" s="66">
        <v>130750</v>
      </c>
      <c r="P6" s="72">
        <v>0</v>
      </c>
      <c r="Q6" s="66">
        <v>0</v>
      </c>
      <c r="R6" s="72">
        <v>0</v>
      </c>
      <c r="S6" s="66">
        <v>0</v>
      </c>
      <c r="T6" s="72">
        <v>0</v>
      </c>
      <c r="U6" s="66">
        <v>130750</v>
      </c>
      <c r="V6" s="72">
        <v>0</v>
      </c>
      <c r="W6" s="66">
        <v>0</v>
      </c>
      <c r="X6" s="72">
        <v>0</v>
      </c>
      <c r="Y6" s="66">
        <v>0</v>
      </c>
      <c r="Z6" s="72">
        <v>0</v>
      </c>
      <c r="AA6" s="66"/>
      <c r="AB6" s="66">
        <f>'Simplified Budget'!Q6</f>
        <v>523000</v>
      </c>
      <c r="AC6" s="66">
        <f t="shared" si="0"/>
        <v>523000</v>
      </c>
      <c r="AD6" s="66">
        <f t="shared" si="1"/>
        <v>523131.26</v>
      </c>
      <c r="AE6" s="79"/>
    </row>
    <row r="7" spans="1:33" ht="15" customHeight="1" x14ac:dyDescent="0.2">
      <c r="A7" s="73" t="s">
        <v>68</v>
      </c>
      <c r="B7" s="64" t="s">
        <v>126</v>
      </c>
      <c r="C7" s="74">
        <v>73724</v>
      </c>
      <c r="D7" s="75">
        <v>73724</v>
      </c>
      <c r="E7" s="74">
        <v>0</v>
      </c>
      <c r="F7" s="75">
        <v>0</v>
      </c>
      <c r="G7" s="74">
        <v>0</v>
      </c>
      <c r="H7" s="75">
        <v>0</v>
      </c>
      <c r="I7" s="74">
        <v>73724</v>
      </c>
      <c r="J7" s="75">
        <v>73724</v>
      </c>
      <c r="K7" s="66">
        <v>0</v>
      </c>
      <c r="L7" s="72">
        <v>0</v>
      </c>
      <c r="M7" s="66">
        <v>0</v>
      </c>
      <c r="N7" s="72">
        <v>0</v>
      </c>
      <c r="O7" s="66">
        <v>73724</v>
      </c>
      <c r="P7" s="72">
        <v>0</v>
      </c>
      <c r="Q7" s="66">
        <v>0</v>
      </c>
      <c r="R7" s="72">
        <v>0</v>
      </c>
      <c r="S7" s="66">
        <v>0</v>
      </c>
      <c r="T7" s="72">
        <v>0</v>
      </c>
      <c r="U7" s="66">
        <v>73724</v>
      </c>
      <c r="V7" s="72">
        <v>0</v>
      </c>
      <c r="W7" s="66">
        <v>0</v>
      </c>
      <c r="X7" s="72">
        <v>0</v>
      </c>
      <c r="Y7" s="66">
        <v>0</v>
      </c>
      <c r="Z7" s="72">
        <v>0</v>
      </c>
      <c r="AA7" s="66"/>
      <c r="AB7" s="66">
        <f>'Simplified Budget'!Q7</f>
        <v>294896</v>
      </c>
      <c r="AC7" s="66">
        <f t="shared" si="0"/>
        <v>294896</v>
      </c>
      <c r="AD7" s="66">
        <f t="shared" si="1"/>
        <v>294896</v>
      </c>
      <c r="AE7" s="79"/>
    </row>
    <row r="8" spans="1:33" ht="15" customHeight="1" x14ac:dyDescent="0.2">
      <c r="A8" s="64"/>
      <c r="B8" s="64" t="s">
        <v>125</v>
      </c>
      <c r="C8" s="74">
        <v>0</v>
      </c>
      <c r="D8" s="75">
        <v>0</v>
      </c>
      <c r="E8" s="74">
        <v>0</v>
      </c>
      <c r="F8" s="75">
        <v>0</v>
      </c>
      <c r="G8" s="74">
        <v>0</v>
      </c>
      <c r="H8" s="75">
        <v>0</v>
      </c>
      <c r="I8" s="74">
        <f>55000-55000</f>
        <v>0</v>
      </c>
      <c r="J8" s="75">
        <v>0</v>
      </c>
      <c r="K8" s="66">
        <v>0</v>
      </c>
      <c r="L8" s="72">
        <v>0</v>
      </c>
      <c r="M8" s="66">
        <v>0</v>
      </c>
      <c r="N8" s="72">
        <v>0</v>
      </c>
      <c r="O8" s="66">
        <v>0</v>
      </c>
      <c r="P8" s="72">
        <v>0</v>
      </c>
      <c r="Q8" s="66">
        <v>0</v>
      </c>
      <c r="R8" s="72">
        <v>0</v>
      </c>
      <c r="S8" s="66">
        <v>0</v>
      </c>
      <c r="T8" s="72">
        <v>0</v>
      </c>
      <c r="U8" s="66">
        <v>0</v>
      </c>
      <c r="V8" s="72">
        <v>0</v>
      </c>
      <c r="W8" s="66">
        <v>0</v>
      </c>
      <c r="X8" s="72">
        <v>0</v>
      </c>
      <c r="Y8" s="66">
        <v>0</v>
      </c>
      <c r="Z8" s="72">
        <v>0</v>
      </c>
      <c r="AA8" s="66"/>
      <c r="AB8" s="66">
        <f>'Simplified Budget'!Q8</f>
        <v>55000</v>
      </c>
      <c r="AC8" s="66">
        <f t="shared" si="0"/>
        <v>0</v>
      </c>
      <c r="AD8" s="66">
        <f t="shared" si="1"/>
        <v>0</v>
      </c>
      <c r="AE8" s="79"/>
    </row>
    <row r="9" spans="1:33" ht="15" customHeight="1" x14ac:dyDescent="0.2">
      <c r="A9" s="73" t="s">
        <v>68</v>
      </c>
      <c r="B9" s="73" t="s">
        <v>46</v>
      </c>
      <c r="C9" s="74">
        <v>13250</v>
      </c>
      <c r="D9" s="75">
        <v>10496.46</v>
      </c>
      <c r="E9" s="74">
        <v>10750</v>
      </c>
      <c r="F9" s="75">
        <v>13193.41</v>
      </c>
      <c r="G9" s="74">
        <v>16300</v>
      </c>
      <c r="H9" s="75">
        <v>12265.85</v>
      </c>
      <c r="I9" s="74">
        <v>10750</v>
      </c>
      <c r="J9" s="75">
        <v>12451.24</v>
      </c>
      <c r="K9" s="66">
        <v>10750</v>
      </c>
      <c r="L9" s="72">
        <v>0</v>
      </c>
      <c r="M9" s="66">
        <v>13300</v>
      </c>
      <c r="N9" s="72">
        <v>0</v>
      </c>
      <c r="O9" s="66">
        <v>10750</v>
      </c>
      <c r="P9" s="72">
        <v>0</v>
      </c>
      <c r="Q9" s="66">
        <v>10750</v>
      </c>
      <c r="R9" s="72">
        <v>0</v>
      </c>
      <c r="S9" s="66">
        <v>15800</v>
      </c>
      <c r="T9" s="72">
        <v>0</v>
      </c>
      <c r="U9" s="66">
        <v>13250</v>
      </c>
      <c r="V9" s="72">
        <v>0</v>
      </c>
      <c r="W9" s="66">
        <v>10750</v>
      </c>
      <c r="X9" s="72">
        <v>0</v>
      </c>
      <c r="Y9" s="66">
        <v>10750</v>
      </c>
      <c r="Z9" s="72">
        <v>0</v>
      </c>
      <c r="AA9" s="66"/>
      <c r="AB9" s="66">
        <f>'Simplified Budget'!Q9</f>
        <v>147150</v>
      </c>
      <c r="AC9" s="66">
        <f t="shared" si="0"/>
        <v>147150</v>
      </c>
      <c r="AD9" s="66">
        <f t="shared" si="1"/>
        <v>144506.96</v>
      </c>
    </row>
    <row r="10" spans="1:33" ht="15" customHeight="1" thickBot="1" x14ac:dyDescent="0.25">
      <c r="A10" s="64"/>
      <c r="B10" s="73" t="s">
        <v>38</v>
      </c>
      <c r="C10" s="74">
        <v>26700</v>
      </c>
      <c r="D10" s="75">
        <v>62986.25</v>
      </c>
      <c r="E10" s="74">
        <v>100200</v>
      </c>
      <c r="F10" s="75">
        <v>33467.75</v>
      </c>
      <c r="G10" s="74">
        <v>200</v>
      </c>
      <c r="H10" s="75">
        <v>5965.25</v>
      </c>
      <c r="I10" s="77">
        <v>7700</v>
      </c>
      <c r="J10" s="78">
        <v>6896.88</v>
      </c>
      <c r="K10" s="66">
        <v>5200</v>
      </c>
      <c r="L10" s="72">
        <v>0</v>
      </c>
      <c r="M10" s="66">
        <v>6200</v>
      </c>
      <c r="N10" s="72">
        <v>0</v>
      </c>
      <c r="O10" s="66">
        <v>20200</v>
      </c>
      <c r="P10" s="72">
        <v>0</v>
      </c>
      <c r="Q10" s="66">
        <v>45200</v>
      </c>
      <c r="R10" s="72">
        <v>0</v>
      </c>
      <c r="S10" s="66">
        <v>700</v>
      </c>
      <c r="T10" s="72">
        <v>0</v>
      </c>
      <c r="U10" s="66">
        <v>200</v>
      </c>
      <c r="V10" s="72">
        <v>0</v>
      </c>
      <c r="W10" s="66">
        <v>200</v>
      </c>
      <c r="X10" s="72">
        <v>0</v>
      </c>
      <c r="Y10" s="66">
        <v>1200</v>
      </c>
      <c r="Z10" s="72">
        <v>0</v>
      </c>
      <c r="AA10" s="66"/>
      <c r="AB10" s="66">
        <f>'Simplified Budget'!Q10</f>
        <v>213900</v>
      </c>
      <c r="AC10" s="66">
        <f t="shared" si="0"/>
        <v>213900</v>
      </c>
      <c r="AD10" s="65">
        <f t="shared" si="1"/>
        <v>188416.13</v>
      </c>
      <c r="AE10" s="79"/>
      <c r="AF10" s="79"/>
    </row>
    <row r="11" spans="1:33" ht="15" customHeight="1" thickBot="1" x14ac:dyDescent="0.25">
      <c r="A11" s="73" t="s">
        <v>68</v>
      </c>
      <c r="B11" s="80" t="s">
        <v>116</v>
      </c>
      <c r="C11" s="81">
        <f t="shared" ref="C11:Z11" si="2">SUM(C3:C10)</f>
        <v>441746.92</v>
      </c>
      <c r="D11" s="82">
        <f>SUM(D3:D10)</f>
        <v>466966.44</v>
      </c>
      <c r="E11" s="81">
        <f t="shared" si="2"/>
        <v>668272.92000000004</v>
      </c>
      <c r="F11" s="82">
        <f>SUM(F3:F10)</f>
        <v>581913.45000000007</v>
      </c>
      <c r="G11" s="81">
        <f t="shared" si="2"/>
        <v>242822.91999999998</v>
      </c>
      <c r="H11" s="82">
        <f>SUM(H3:H10)</f>
        <v>213950.58</v>
      </c>
      <c r="I11" s="81">
        <f t="shared" si="2"/>
        <v>449746.92</v>
      </c>
      <c r="J11" s="82">
        <f>SUM(J3:J10)</f>
        <v>783177.16</v>
      </c>
      <c r="K11" s="81">
        <f t="shared" si="2"/>
        <v>193972.91999999998</v>
      </c>
      <c r="L11" s="82">
        <f t="shared" si="2"/>
        <v>0</v>
      </c>
      <c r="M11" s="81">
        <f t="shared" si="2"/>
        <v>331336.68</v>
      </c>
      <c r="N11" s="82">
        <f t="shared" si="2"/>
        <v>0</v>
      </c>
      <c r="O11" s="81">
        <f t="shared" si="2"/>
        <v>491915.88</v>
      </c>
      <c r="P11" s="82">
        <f t="shared" si="2"/>
        <v>0</v>
      </c>
      <c r="Q11" s="81">
        <f t="shared" si="2"/>
        <v>407241.87999999995</v>
      </c>
      <c r="R11" s="82">
        <f t="shared" si="2"/>
        <v>0</v>
      </c>
      <c r="S11" s="81">
        <f t="shared" si="2"/>
        <v>317991.87999999995</v>
      </c>
      <c r="T11" s="82">
        <f t="shared" si="2"/>
        <v>0</v>
      </c>
      <c r="U11" s="81">
        <f t="shared" si="2"/>
        <v>480415.88</v>
      </c>
      <c r="V11" s="82">
        <f t="shared" si="2"/>
        <v>0</v>
      </c>
      <c r="W11" s="81">
        <f t="shared" si="2"/>
        <v>196441.88</v>
      </c>
      <c r="X11" s="82">
        <f t="shared" si="2"/>
        <v>0</v>
      </c>
      <c r="Y11" s="81">
        <f t="shared" si="2"/>
        <v>225141.84</v>
      </c>
      <c r="Z11" s="82">
        <f t="shared" si="2"/>
        <v>0</v>
      </c>
      <c r="AA11" s="83"/>
      <c r="AB11" s="81">
        <f>'Simplified Budget'!Q11</f>
        <v>4523024</v>
      </c>
      <c r="AC11" s="97">
        <f>SUM(AC3:AC10)</f>
        <v>4447048.5199999996</v>
      </c>
      <c r="AD11" s="97">
        <f>SUM(AD3:AD10)</f>
        <v>4690466.47</v>
      </c>
      <c r="AE11" s="84"/>
      <c r="AF11" s="84"/>
      <c r="AG11" s="85"/>
    </row>
    <row r="12" spans="1:33" ht="15" customHeight="1" x14ac:dyDescent="0.2">
      <c r="A12" s="86"/>
      <c r="B12" s="86"/>
      <c r="C12" s="86"/>
      <c r="D12" s="99"/>
      <c r="E12" s="79"/>
      <c r="F12" s="79"/>
      <c r="G12" s="79"/>
      <c r="H12" s="79"/>
      <c r="I12" s="79"/>
      <c r="J12" s="79"/>
      <c r="AB12" s="66"/>
      <c r="AC12" s="66"/>
      <c r="AD12" s="66"/>
      <c r="AE12" s="87"/>
      <c r="AF12" s="87"/>
      <c r="AG12" s="85"/>
    </row>
    <row r="13" spans="1:33" ht="15" customHeight="1" x14ac:dyDescent="0.2">
      <c r="A13" s="71" t="s">
        <v>117</v>
      </c>
      <c r="B13" s="71"/>
      <c r="C13" s="71"/>
      <c r="D13" s="100"/>
      <c r="E13" s="79"/>
      <c r="F13" s="79"/>
      <c r="G13" s="79"/>
      <c r="H13" s="79"/>
      <c r="I13" s="79"/>
      <c r="J13" s="79"/>
      <c r="AB13" s="66"/>
      <c r="AC13" s="66"/>
      <c r="AD13" s="66"/>
      <c r="AE13" s="87"/>
      <c r="AF13" s="87"/>
      <c r="AG13" s="85"/>
    </row>
    <row r="14" spans="1:33" ht="15" customHeight="1" x14ac:dyDescent="0.2">
      <c r="A14" s="64"/>
      <c r="B14" s="73" t="s">
        <v>55</v>
      </c>
      <c r="C14" s="76">
        <v>339008.57</v>
      </c>
      <c r="D14" s="75">
        <v>311382.73</v>
      </c>
      <c r="E14" s="74">
        <v>350735.22</v>
      </c>
      <c r="F14" s="75">
        <v>320086.61</v>
      </c>
      <c r="G14" s="74">
        <v>339279.22</v>
      </c>
      <c r="H14" s="75">
        <v>350870.16</v>
      </c>
      <c r="I14" s="74">
        <v>350735.22</v>
      </c>
      <c r="J14" s="75">
        <v>322907.03999999998</v>
      </c>
      <c r="K14" s="66">
        <v>339279.22</v>
      </c>
      <c r="L14" s="72">
        <v>0</v>
      </c>
      <c r="M14" s="66">
        <v>354937.22</v>
      </c>
      <c r="N14" s="72">
        <v>0</v>
      </c>
      <c r="O14" s="66">
        <v>344351.22</v>
      </c>
      <c r="P14" s="72">
        <v>0</v>
      </c>
      <c r="Q14" s="66">
        <v>355807.22</v>
      </c>
      <c r="R14" s="72">
        <v>0</v>
      </c>
      <c r="S14" s="66">
        <v>344351.22</v>
      </c>
      <c r="T14" s="72">
        <v>0</v>
      </c>
      <c r="U14" s="66">
        <v>344351.22</v>
      </c>
      <c r="V14" s="72">
        <v>0</v>
      </c>
      <c r="W14" s="66">
        <v>344351.22</v>
      </c>
      <c r="X14" s="72">
        <v>0</v>
      </c>
      <c r="Y14" s="66">
        <v>355807.23</v>
      </c>
      <c r="Z14" s="72">
        <v>0</v>
      </c>
      <c r="AA14" s="66"/>
      <c r="AB14" s="66">
        <f>'Simplified Budget'!Q14</f>
        <v>4162993.9999999986</v>
      </c>
      <c r="AC14" s="66">
        <f t="shared" si="0"/>
        <v>4162993.9999999986</v>
      </c>
      <c r="AD14" s="66">
        <f t="shared" si="1"/>
        <v>4088482.3099999991</v>
      </c>
      <c r="AE14" s="87"/>
      <c r="AF14" s="87"/>
      <c r="AG14" s="85"/>
    </row>
    <row r="15" spans="1:33" ht="15" customHeight="1" x14ac:dyDescent="0.2">
      <c r="A15" s="64"/>
      <c r="B15" s="64" t="s">
        <v>118</v>
      </c>
      <c r="C15" s="76">
        <v>6267</v>
      </c>
      <c r="D15" s="75">
        <v>7521.51</v>
      </c>
      <c r="E15" s="74">
        <v>4553</v>
      </c>
      <c r="F15" s="75">
        <v>4552.78</v>
      </c>
      <c r="G15" s="74">
        <v>5353</v>
      </c>
      <c r="H15" s="75">
        <v>4802.78</v>
      </c>
      <c r="I15" s="74">
        <v>6303</v>
      </c>
      <c r="J15" s="75">
        <v>6847.73</v>
      </c>
      <c r="K15" s="66">
        <v>9203</v>
      </c>
      <c r="L15" s="72">
        <v>0</v>
      </c>
      <c r="M15" s="66">
        <v>8803</v>
      </c>
      <c r="N15" s="72">
        <v>0</v>
      </c>
      <c r="O15" s="66">
        <v>10803</v>
      </c>
      <c r="P15" s="72">
        <v>0</v>
      </c>
      <c r="Q15" s="66">
        <v>8053</v>
      </c>
      <c r="R15" s="72">
        <v>0</v>
      </c>
      <c r="S15" s="66">
        <v>5353</v>
      </c>
      <c r="T15" s="72">
        <v>0</v>
      </c>
      <c r="U15" s="66">
        <v>16503</v>
      </c>
      <c r="V15" s="72">
        <v>0</v>
      </c>
      <c r="W15" s="66">
        <v>4603</v>
      </c>
      <c r="X15" s="72">
        <v>0</v>
      </c>
      <c r="Y15" s="66">
        <v>8803</v>
      </c>
      <c r="Z15" s="72">
        <v>0</v>
      </c>
      <c r="AA15" s="66"/>
      <c r="AB15" s="66">
        <f>'Simplified Budget'!Q15</f>
        <v>94600</v>
      </c>
      <c r="AC15" s="66">
        <f t="shared" si="0"/>
        <v>94600</v>
      </c>
      <c r="AD15" s="66">
        <f t="shared" si="1"/>
        <v>95848.8</v>
      </c>
      <c r="AE15" s="87"/>
      <c r="AF15" s="87"/>
      <c r="AG15" s="85"/>
    </row>
    <row r="16" spans="1:33" ht="15" customHeight="1" x14ac:dyDescent="0.2">
      <c r="A16" s="64"/>
      <c r="B16" s="64" t="s">
        <v>59</v>
      </c>
      <c r="C16" s="76">
        <v>5761</v>
      </c>
      <c r="D16" s="75">
        <v>5993.49</v>
      </c>
      <c r="E16" s="74">
        <v>5761</v>
      </c>
      <c r="F16" s="75">
        <v>5548</v>
      </c>
      <c r="G16" s="74">
        <v>5761</v>
      </c>
      <c r="H16" s="75">
        <v>5548</v>
      </c>
      <c r="I16" s="74">
        <v>5761</v>
      </c>
      <c r="J16" s="75">
        <v>5548</v>
      </c>
      <c r="K16" s="66">
        <v>5761</v>
      </c>
      <c r="L16" s="72">
        <v>0</v>
      </c>
      <c r="M16" s="66">
        <v>5761</v>
      </c>
      <c r="N16" s="72">
        <v>0</v>
      </c>
      <c r="O16" s="66">
        <v>5761</v>
      </c>
      <c r="P16" s="72">
        <v>0</v>
      </c>
      <c r="Q16" s="66">
        <v>5761</v>
      </c>
      <c r="R16" s="72">
        <v>0</v>
      </c>
      <c r="S16" s="66">
        <v>5761</v>
      </c>
      <c r="T16" s="72">
        <v>0</v>
      </c>
      <c r="U16" s="66">
        <v>5761</v>
      </c>
      <c r="V16" s="72">
        <v>0</v>
      </c>
      <c r="W16" s="66">
        <v>5761</v>
      </c>
      <c r="X16" s="72">
        <v>0</v>
      </c>
      <c r="Y16" s="66">
        <v>5761</v>
      </c>
      <c r="Z16" s="72">
        <v>0</v>
      </c>
      <c r="AA16" s="66"/>
      <c r="AB16" s="66">
        <f>'Simplified Budget'!Q16</f>
        <v>69132</v>
      </c>
      <c r="AC16" s="66">
        <f t="shared" si="0"/>
        <v>69132</v>
      </c>
      <c r="AD16" s="66">
        <f t="shared" si="1"/>
        <v>68725.489999999991</v>
      </c>
      <c r="AE16" s="87"/>
      <c r="AF16" s="87"/>
      <c r="AG16" s="85"/>
    </row>
    <row r="17" spans="1:33" ht="15" customHeight="1" thickBot="1" x14ac:dyDescent="0.25">
      <c r="A17" s="64"/>
      <c r="B17" s="88" t="s">
        <v>119</v>
      </c>
      <c r="C17" s="89">
        <v>81792</v>
      </c>
      <c r="D17" s="90">
        <v>71741.740000000005</v>
      </c>
      <c r="E17" s="91">
        <v>50651</v>
      </c>
      <c r="F17" s="90">
        <v>58119.1</v>
      </c>
      <c r="G17" s="91">
        <v>50580</v>
      </c>
      <c r="H17" s="90">
        <v>38963.31</v>
      </c>
      <c r="I17" s="91">
        <v>44987</v>
      </c>
      <c r="J17" s="90">
        <v>43587.93</v>
      </c>
      <c r="K17" s="65">
        <v>40558</v>
      </c>
      <c r="L17" s="72">
        <v>0</v>
      </c>
      <c r="M17" s="65">
        <v>44060</v>
      </c>
      <c r="N17" s="72">
        <v>0</v>
      </c>
      <c r="O17" s="66">
        <v>56305</v>
      </c>
      <c r="P17" s="72">
        <v>0</v>
      </c>
      <c r="Q17" s="66">
        <v>79069</v>
      </c>
      <c r="R17" s="72">
        <v>0</v>
      </c>
      <c r="S17" s="66">
        <v>68098</v>
      </c>
      <c r="T17" s="72">
        <v>0</v>
      </c>
      <c r="U17" s="66">
        <v>47167</v>
      </c>
      <c r="V17" s="72">
        <v>0</v>
      </c>
      <c r="W17" s="66">
        <v>47945</v>
      </c>
      <c r="X17" s="72">
        <v>0</v>
      </c>
      <c r="Y17" s="66">
        <v>50915</v>
      </c>
      <c r="Z17" s="72">
        <v>0</v>
      </c>
      <c r="AA17" s="66"/>
      <c r="AB17" s="66">
        <f>'Simplified Budget'!Q17</f>
        <v>662127</v>
      </c>
      <c r="AC17" s="65">
        <f t="shared" si="0"/>
        <v>662127</v>
      </c>
      <c r="AD17" s="65">
        <f t="shared" si="1"/>
        <v>646529.07999999996</v>
      </c>
      <c r="AE17" s="87"/>
      <c r="AF17" s="87"/>
      <c r="AG17" s="85"/>
    </row>
    <row r="18" spans="1:33" ht="15" customHeight="1" thickBot="1" x14ac:dyDescent="0.25">
      <c r="A18" s="73" t="s">
        <v>68</v>
      </c>
      <c r="B18" s="80" t="s">
        <v>120</v>
      </c>
      <c r="C18" s="92">
        <f t="shared" ref="C18:Z18" si="3">SUM(C14:C17)</f>
        <v>432828.57</v>
      </c>
      <c r="D18" s="82">
        <f>SUM(D14:D17)</f>
        <v>396639.47</v>
      </c>
      <c r="E18" s="92">
        <f t="shared" si="3"/>
        <v>411700.22</v>
      </c>
      <c r="F18" s="82">
        <f>SUM(F14:F17)</f>
        <v>388306.49</v>
      </c>
      <c r="G18" s="92">
        <f t="shared" si="3"/>
        <v>400973.22</v>
      </c>
      <c r="H18" s="82">
        <f>SUM(H14:H17)</f>
        <v>400184.25</v>
      </c>
      <c r="I18" s="92">
        <f t="shared" si="3"/>
        <v>407786.22</v>
      </c>
      <c r="J18" s="82">
        <f>SUM(J14:J17)</f>
        <v>378890.69999999995</v>
      </c>
      <c r="K18" s="92">
        <f t="shared" si="3"/>
        <v>394801.22</v>
      </c>
      <c r="L18" s="82">
        <f t="shared" si="3"/>
        <v>0</v>
      </c>
      <c r="M18" s="92">
        <f t="shared" si="3"/>
        <v>413561.22</v>
      </c>
      <c r="N18" s="82">
        <f t="shared" si="3"/>
        <v>0</v>
      </c>
      <c r="O18" s="92">
        <f t="shared" si="3"/>
        <v>417220.22</v>
      </c>
      <c r="P18" s="82">
        <f t="shared" si="3"/>
        <v>0</v>
      </c>
      <c r="Q18" s="92">
        <f t="shared" si="3"/>
        <v>448690.22</v>
      </c>
      <c r="R18" s="82">
        <f t="shared" si="3"/>
        <v>0</v>
      </c>
      <c r="S18" s="92">
        <f t="shared" si="3"/>
        <v>423563.22</v>
      </c>
      <c r="T18" s="82">
        <f t="shared" si="3"/>
        <v>0</v>
      </c>
      <c r="U18" s="92">
        <f t="shared" si="3"/>
        <v>413782.22</v>
      </c>
      <c r="V18" s="82">
        <f t="shared" si="3"/>
        <v>0</v>
      </c>
      <c r="W18" s="92">
        <f t="shared" si="3"/>
        <v>402660.22</v>
      </c>
      <c r="X18" s="82">
        <f t="shared" si="3"/>
        <v>0</v>
      </c>
      <c r="Y18" s="92">
        <f t="shared" si="3"/>
        <v>421286.23</v>
      </c>
      <c r="Z18" s="82">
        <f t="shared" si="3"/>
        <v>0</v>
      </c>
      <c r="AA18" s="84"/>
      <c r="AB18" s="81">
        <f>'Simplified Budget'!Q18</f>
        <v>4988852.9999999981</v>
      </c>
      <c r="AC18" s="98">
        <f>SUM(AC14:AC17)</f>
        <v>4988852.9999999981</v>
      </c>
      <c r="AD18" s="98">
        <f>SUM(AD14:AD17)</f>
        <v>4899585.6799999988</v>
      </c>
      <c r="AE18" s="84"/>
      <c r="AF18" s="84"/>
      <c r="AG18" s="85"/>
    </row>
    <row r="19" spans="1:33" ht="15" customHeight="1" thickBot="1" x14ac:dyDescent="0.25">
      <c r="A19" s="214" t="s">
        <v>121</v>
      </c>
      <c r="B19" s="214"/>
      <c r="C19" s="93">
        <f t="shared" ref="C19:Z19" si="4">C11-C18</f>
        <v>8918.3499999999767</v>
      </c>
      <c r="D19" s="94">
        <f>D11-D18</f>
        <v>70326.97000000003</v>
      </c>
      <c r="E19" s="93">
        <f t="shared" si="4"/>
        <v>256572.70000000007</v>
      </c>
      <c r="F19" s="94">
        <f>F11-F18</f>
        <v>193606.96000000008</v>
      </c>
      <c r="G19" s="93">
        <f t="shared" si="4"/>
        <v>-158150.29999999999</v>
      </c>
      <c r="H19" s="94">
        <f>H11-H18</f>
        <v>-186233.67</v>
      </c>
      <c r="I19" s="93">
        <f t="shared" si="4"/>
        <v>41960.700000000012</v>
      </c>
      <c r="J19" s="94">
        <f t="shared" si="4"/>
        <v>404286.46000000008</v>
      </c>
      <c r="K19" s="93">
        <f t="shared" si="4"/>
        <v>-200828.3</v>
      </c>
      <c r="L19" s="94">
        <f t="shared" si="4"/>
        <v>0</v>
      </c>
      <c r="M19" s="93">
        <f t="shared" si="4"/>
        <v>-82224.539999999979</v>
      </c>
      <c r="N19" s="94">
        <f t="shared" si="4"/>
        <v>0</v>
      </c>
      <c r="O19" s="93">
        <f t="shared" si="4"/>
        <v>74695.660000000033</v>
      </c>
      <c r="P19" s="94">
        <f t="shared" si="4"/>
        <v>0</v>
      </c>
      <c r="Q19" s="93">
        <f t="shared" si="4"/>
        <v>-41448.340000000026</v>
      </c>
      <c r="R19" s="94">
        <f t="shared" si="4"/>
        <v>0</v>
      </c>
      <c r="S19" s="93">
        <f t="shared" si="4"/>
        <v>-105571.34000000003</v>
      </c>
      <c r="T19" s="94">
        <f t="shared" si="4"/>
        <v>0</v>
      </c>
      <c r="U19" s="93">
        <f t="shared" si="4"/>
        <v>66633.660000000033</v>
      </c>
      <c r="V19" s="94">
        <f t="shared" si="4"/>
        <v>0</v>
      </c>
      <c r="W19" s="93">
        <f t="shared" si="4"/>
        <v>-206218.33999999997</v>
      </c>
      <c r="X19" s="94">
        <f t="shared" si="4"/>
        <v>0</v>
      </c>
      <c r="Y19" s="93">
        <f t="shared" si="4"/>
        <v>-196144.38999999998</v>
      </c>
      <c r="Z19" s="94">
        <f t="shared" si="4"/>
        <v>0</v>
      </c>
      <c r="AA19" s="83"/>
      <c r="AB19" s="81">
        <f>'Simplified Budget'!Q19</f>
        <v>-465828.99999999983</v>
      </c>
      <c r="AC19" s="93">
        <f>AC11-AC18</f>
        <v>-541804.47999999858</v>
      </c>
      <c r="AD19" s="93">
        <f>AD11-AD18</f>
        <v>-209119.20999999903</v>
      </c>
      <c r="AE19" s="87"/>
      <c r="AF19" s="87"/>
      <c r="AG19" s="85"/>
    </row>
    <row r="20" spans="1:33" ht="15" customHeight="1" x14ac:dyDescent="0.2">
      <c r="AE20" s="87"/>
      <c r="AF20" s="87"/>
      <c r="AG20" s="85"/>
    </row>
    <row r="21" spans="1:33" ht="15" customHeight="1" x14ac:dyDescent="0.2">
      <c r="B21" s="72" t="s">
        <v>127</v>
      </c>
    </row>
    <row r="23" spans="1:33" ht="15" customHeight="1" x14ac:dyDescent="0.2">
      <c r="D23" s="70">
        <f>IF(D3=0,C3,D3)</f>
        <v>33435.24</v>
      </c>
    </row>
  </sheetData>
  <mergeCells count="1">
    <mergeCell ref="A19:B19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CC48"/>
  <sheetViews>
    <sheetView tabSelected="1" workbookViewId="0">
      <pane xSplit="2" topLeftCell="AG1" activePane="topRight" state="frozen"/>
      <selection pane="topRight" activeCell="AO20" sqref="AO20"/>
    </sheetView>
  </sheetViews>
  <sheetFormatPr defaultColWidth="9.140625" defaultRowHeight="12.75" outlineLevelCol="2" x14ac:dyDescent="0.2"/>
  <cols>
    <col min="1" max="1" width="10.85546875" style="104" bestFit="1" customWidth="1"/>
    <col min="2" max="2" width="15.7109375" style="104" bestFit="1" customWidth="1"/>
    <col min="3" max="5" width="9.5703125" style="104" customWidth="1" outlineLevel="1"/>
    <col min="6" max="7" width="7.7109375" style="104" customWidth="1" outlineLevel="2"/>
    <col min="8" max="8" width="7.42578125" style="104" customWidth="1" outlineLevel="2"/>
    <col min="9" max="11" width="9.5703125" style="104" customWidth="1" outlineLevel="1"/>
    <col min="12" max="13" width="8.28515625" style="104" customWidth="1" outlineLevel="2"/>
    <col min="14" max="14" width="7.42578125" style="104" customWidth="1" outlineLevel="2"/>
    <col min="15" max="17" width="9.5703125" style="104" customWidth="1" outlineLevel="1"/>
    <col min="18" max="19" width="8.28515625" style="104" customWidth="1" outlineLevel="2"/>
    <col min="20" max="20" width="7.42578125" style="104" customWidth="1" outlineLevel="2"/>
    <col min="21" max="23" width="9.5703125" style="104" customWidth="1" outlineLevel="1"/>
    <col min="24" max="26" width="8.28515625" style="104" customWidth="1" outlineLevel="2"/>
    <col min="27" max="29" width="9.5703125" style="104" customWidth="1" outlineLevel="1"/>
    <col min="30" max="32" width="8.28515625" style="104" customWidth="1" outlineLevel="2"/>
    <col min="33" max="35" width="9.5703125" style="104" customWidth="1" outlineLevel="1"/>
    <col min="36" max="38" width="8.28515625" style="104" customWidth="1" outlineLevel="2"/>
    <col min="39" max="39" width="9.5703125" style="104" customWidth="1" outlineLevel="1"/>
    <col min="40" max="40" width="11" style="104" bestFit="1" customWidth="1" outlineLevel="1"/>
    <col min="41" max="41" width="9.5703125" style="104" customWidth="1" outlineLevel="1"/>
    <col min="42" max="42" width="9.5703125" style="104" bestFit="1" customWidth="1" outlineLevel="2"/>
    <col min="43" max="43" width="8.28515625" style="104" customWidth="1" outlineLevel="2"/>
    <col min="44" max="44" width="9.5703125" style="104" bestFit="1" customWidth="1" outlineLevel="2"/>
    <col min="45" max="45" width="9.5703125" style="104" customWidth="1" outlineLevel="1"/>
    <col min="46" max="46" width="11" style="104" bestFit="1" customWidth="1" outlineLevel="1"/>
    <col min="47" max="47" width="9.5703125" style="104" customWidth="1" outlineLevel="1"/>
    <col min="48" max="48" width="9.5703125" style="104" bestFit="1" customWidth="1" outlineLevel="2"/>
    <col min="49" max="49" width="8.28515625" style="104" customWidth="1" outlineLevel="2"/>
    <col min="50" max="50" width="9.5703125" style="104" bestFit="1" customWidth="1" outlineLevel="2"/>
    <col min="51" max="53" width="9.5703125" style="104" customWidth="1" outlineLevel="1"/>
    <col min="54" max="56" width="8.28515625" style="104" customWidth="1" outlineLevel="2"/>
    <col min="57" max="59" width="9.5703125" style="104" customWidth="1" outlineLevel="1"/>
    <col min="60" max="62" width="8.28515625" style="104" customWidth="1" outlineLevel="2"/>
    <col min="63" max="65" width="9.5703125" style="104" customWidth="1" outlineLevel="1"/>
    <col min="66" max="68" width="8.28515625" style="104" customWidth="1" outlineLevel="2"/>
    <col min="69" max="71" width="9.5703125" style="104" customWidth="1" outlineLevel="1"/>
    <col min="72" max="74" width="8.28515625" style="104" customWidth="1" outlineLevel="2"/>
    <col min="75" max="75" width="9.140625" style="104" customWidth="1" outlineLevel="1"/>
    <col min="76" max="76" width="13.140625" style="104" bestFit="1" customWidth="1"/>
    <col min="77" max="77" width="11" style="104" bestFit="1" customWidth="1"/>
    <col min="78" max="78" width="19.28515625" style="104" bestFit="1" customWidth="1"/>
    <col min="79" max="79" width="9.140625" style="104" customWidth="1" outlineLevel="1"/>
    <col min="80" max="80" width="9.5703125" style="104" bestFit="1" customWidth="1" outlineLevel="1"/>
    <col min="81" max="81" width="9.140625" style="104" customWidth="1" outlineLevel="1"/>
    <col min="82" max="16384" width="9.140625" style="104"/>
  </cols>
  <sheetData>
    <row r="1" spans="1:81" x14ac:dyDescent="0.2">
      <c r="A1" s="143"/>
      <c r="B1" s="197"/>
      <c r="C1" s="215">
        <v>45383</v>
      </c>
      <c r="D1" s="215"/>
      <c r="E1" s="215"/>
      <c r="F1" s="215"/>
      <c r="G1" s="215"/>
      <c r="H1" s="216"/>
      <c r="I1" s="215">
        <v>45413</v>
      </c>
      <c r="J1" s="215"/>
      <c r="K1" s="215"/>
      <c r="L1" s="215"/>
      <c r="M1" s="215"/>
      <c r="N1" s="216"/>
      <c r="O1" s="215">
        <v>45444</v>
      </c>
      <c r="P1" s="215"/>
      <c r="Q1" s="215"/>
      <c r="R1" s="215"/>
      <c r="S1" s="215"/>
      <c r="T1" s="216"/>
      <c r="U1" s="215">
        <v>45474</v>
      </c>
      <c r="V1" s="215"/>
      <c r="W1" s="215"/>
      <c r="X1" s="215"/>
      <c r="Y1" s="215"/>
      <c r="Z1" s="216"/>
      <c r="AA1" s="215">
        <v>45505</v>
      </c>
      <c r="AB1" s="215"/>
      <c r="AC1" s="215"/>
      <c r="AD1" s="215"/>
      <c r="AE1" s="215"/>
      <c r="AF1" s="216"/>
      <c r="AG1" s="215">
        <v>45536</v>
      </c>
      <c r="AH1" s="215"/>
      <c r="AI1" s="215"/>
      <c r="AJ1" s="215"/>
      <c r="AK1" s="215"/>
      <c r="AL1" s="216"/>
      <c r="AM1" s="215">
        <v>45566</v>
      </c>
      <c r="AN1" s="215"/>
      <c r="AO1" s="215"/>
      <c r="AP1" s="215"/>
      <c r="AQ1" s="215"/>
      <c r="AR1" s="216"/>
      <c r="AS1" s="215">
        <v>45597</v>
      </c>
      <c r="AT1" s="215"/>
      <c r="AU1" s="215"/>
      <c r="AV1" s="215"/>
      <c r="AW1" s="215"/>
      <c r="AX1" s="216"/>
      <c r="AY1" s="223">
        <v>45627</v>
      </c>
      <c r="AZ1" s="215"/>
      <c r="BA1" s="215"/>
      <c r="BB1" s="215"/>
      <c r="BC1" s="215"/>
      <c r="BD1" s="216"/>
      <c r="BE1" s="215">
        <v>45658</v>
      </c>
      <c r="BF1" s="215"/>
      <c r="BG1" s="215"/>
      <c r="BH1" s="215"/>
      <c r="BI1" s="215"/>
      <c r="BJ1" s="216"/>
      <c r="BK1" s="215">
        <v>45689</v>
      </c>
      <c r="BL1" s="215"/>
      <c r="BM1" s="215"/>
      <c r="BN1" s="215"/>
      <c r="BO1" s="215"/>
      <c r="BP1" s="216"/>
      <c r="BQ1" s="217">
        <v>45717</v>
      </c>
      <c r="BR1" s="217"/>
      <c r="BS1" s="217"/>
      <c r="BT1" s="217"/>
      <c r="BU1" s="217"/>
      <c r="BV1" s="218"/>
      <c r="BX1" s="220" t="s">
        <v>137</v>
      </c>
      <c r="BY1" s="221"/>
      <c r="BZ1" s="222"/>
      <c r="CA1" s="188"/>
      <c r="CB1" s="188"/>
      <c r="CC1" s="189"/>
    </row>
    <row r="2" spans="1:81" x14ac:dyDescent="0.2">
      <c r="A2" s="144"/>
      <c r="B2" s="198"/>
      <c r="C2" s="132" t="s">
        <v>130</v>
      </c>
      <c r="D2" s="132" t="s">
        <v>131</v>
      </c>
      <c r="E2" s="133" t="s">
        <v>129</v>
      </c>
      <c r="F2" s="112" t="s">
        <v>135</v>
      </c>
      <c r="G2" s="113" t="s">
        <v>135</v>
      </c>
      <c r="H2" s="138" t="s">
        <v>135</v>
      </c>
      <c r="I2" s="132" t="s">
        <v>130</v>
      </c>
      <c r="J2" s="132" t="s">
        <v>131</v>
      </c>
      <c r="K2" s="133" t="s">
        <v>129</v>
      </c>
      <c r="L2" s="112" t="s">
        <v>135</v>
      </c>
      <c r="M2" s="113" t="s">
        <v>135</v>
      </c>
      <c r="N2" s="138" t="s">
        <v>135</v>
      </c>
      <c r="O2" s="132" t="s">
        <v>130</v>
      </c>
      <c r="P2" s="132" t="s">
        <v>131</v>
      </c>
      <c r="Q2" s="133" t="s">
        <v>129</v>
      </c>
      <c r="R2" s="112" t="s">
        <v>135</v>
      </c>
      <c r="S2" s="113" t="s">
        <v>135</v>
      </c>
      <c r="T2" s="138" t="s">
        <v>135</v>
      </c>
      <c r="U2" s="132" t="s">
        <v>130</v>
      </c>
      <c r="V2" s="132" t="s">
        <v>131</v>
      </c>
      <c r="W2" s="133" t="s">
        <v>129</v>
      </c>
      <c r="X2" s="112" t="s">
        <v>135</v>
      </c>
      <c r="Y2" s="113" t="s">
        <v>135</v>
      </c>
      <c r="Z2" s="138" t="s">
        <v>135</v>
      </c>
      <c r="AA2" s="132" t="s">
        <v>130</v>
      </c>
      <c r="AB2" s="132" t="s">
        <v>131</v>
      </c>
      <c r="AC2" s="133" t="s">
        <v>129</v>
      </c>
      <c r="AD2" s="112" t="s">
        <v>135</v>
      </c>
      <c r="AE2" s="113" t="s">
        <v>135</v>
      </c>
      <c r="AF2" s="138" t="s">
        <v>135</v>
      </c>
      <c r="AG2" s="132" t="s">
        <v>130</v>
      </c>
      <c r="AH2" s="132" t="s">
        <v>131</v>
      </c>
      <c r="AI2" s="133" t="s">
        <v>129</v>
      </c>
      <c r="AJ2" s="112" t="s">
        <v>135</v>
      </c>
      <c r="AK2" s="113" t="s">
        <v>135</v>
      </c>
      <c r="AL2" s="138" t="s">
        <v>135</v>
      </c>
      <c r="AM2" s="132" t="s">
        <v>130</v>
      </c>
      <c r="AN2" s="132" t="s">
        <v>131</v>
      </c>
      <c r="AO2" s="133" t="s">
        <v>129</v>
      </c>
      <c r="AP2" s="112" t="s">
        <v>135</v>
      </c>
      <c r="AQ2" s="113" t="s">
        <v>135</v>
      </c>
      <c r="AR2" s="138" t="s">
        <v>135</v>
      </c>
      <c r="AS2" s="132" t="s">
        <v>130</v>
      </c>
      <c r="AT2" s="132" t="s">
        <v>131</v>
      </c>
      <c r="AU2" s="133" t="s">
        <v>129</v>
      </c>
      <c r="AV2" s="112" t="s">
        <v>135</v>
      </c>
      <c r="AW2" s="113" t="s">
        <v>135</v>
      </c>
      <c r="AX2" s="138" t="s">
        <v>135</v>
      </c>
      <c r="AY2" s="132" t="s">
        <v>130</v>
      </c>
      <c r="AZ2" s="132" t="s">
        <v>131</v>
      </c>
      <c r="BA2" s="133" t="s">
        <v>129</v>
      </c>
      <c r="BB2" s="112" t="s">
        <v>135</v>
      </c>
      <c r="BC2" s="113" t="s">
        <v>135</v>
      </c>
      <c r="BD2" s="138" t="s">
        <v>135</v>
      </c>
      <c r="BE2" s="132" t="s">
        <v>130</v>
      </c>
      <c r="BF2" s="132" t="s">
        <v>131</v>
      </c>
      <c r="BG2" s="133" t="s">
        <v>129</v>
      </c>
      <c r="BH2" s="112" t="s">
        <v>135</v>
      </c>
      <c r="BI2" s="113" t="s">
        <v>135</v>
      </c>
      <c r="BJ2" s="138" t="s">
        <v>135</v>
      </c>
      <c r="BK2" s="132" t="s">
        <v>130</v>
      </c>
      <c r="BL2" s="132" t="s">
        <v>131</v>
      </c>
      <c r="BM2" s="133" t="s">
        <v>129</v>
      </c>
      <c r="BN2" s="112" t="s">
        <v>135</v>
      </c>
      <c r="BO2" s="113" t="s">
        <v>135</v>
      </c>
      <c r="BP2" s="138" t="s">
        <v>135</v>
      </c>
      <c r="BQ2" s="132" t="s">
        <v>130</v>
      </c>
      <c r="BR2" s="132" t="s">
        <v>131</v>
      </c>
      <c r="BS2" s="133" t="s">
        <v>129</v>
      </c>
      <c r="BT2" s="112" t="s">
        <v>135</v>
      </c>
      <c r="BU2" s="113" t="s">
        <v>135</v>
      </c>
      <c r="BV2" s="138" t="s">
        <v>135</v>
      </c>
      <c r="BX2" s="167"/>
      <c r="BY2" s="168"/>
      <c r="BZ2" s="169"/>
      <c r="CA2" s="112" t="s">
        <v>135</v>
      </c>
      <c r="CB2" s="113" t="s">
        <v>135</v>
      </c>
      <c r="CC2" s="138" t="s">
        <v>135</v>
      </c>
    </row>
    <row r="3" spans="1:81" ht="22.5" x14ac:dyDescent="0.2">
      <c r="A3" s="145" t="s">
        <v>110</v>
      </c>
      <c r="B3" s="199"/>
      <c r="C3" s="134"/>
      <c r="D3" s="134"/>
      <c r="E3" s="135"/>
      <c r="F3" s="136" t="s">
        <v>132</v>
      </c>
      <c r="G3" s="137" t="s">
        <v>133</v>
      </c>
      <c r="H3" s="139" t="s">
        <v>134</v>
      </c>
      <c r="I3" s="134"/>
      <c r="J3" s="134"/>
      <c r="K3" s="135"/>
      <c r="L3" s="136" t="s">
        <v>132</v>
      </c>
      <c r="M3" s="137" t="s">
        <v>133</v>
      </c>
      <c r="N3" s="139" t="s">
        <v>134</v>
      </c>
      <c r="O3" s="134"/>
      <c r="P3" s="134"/>
      <c r="Q3" s="135"/>
      <c r="R3" s="136" t="s">
        <v>132</v>
      </c>
      <c r="S3" s="137" t="s">
        <v>133</v>
      </c>
      <c r="T3" s="139" t="s">
        <v>134</v>
      </c>
      <c r="U3" s="134"/>
      <c r="V3" s="134"/>
      <c r="W3" s="135"/>
      <c r="X3" s="136" t="s">
        <v>132</v>
      </c>
      <c r="Y3" s="137" t="s">
        <v>133</v>
      </c>
      <c r="Z3" s="139" t="s">
        <v>134</v>
      </c>
      <c r="AA3" s="134"/>
      <c r="AB3" s="134"/>
      <c r="AC3" s="135"/>
      <c r="AD3" s="136" t="s">
        <v>132</v>
      </c>
      <c r="AE3" s="137" t="s">
        <v>133</v>
      </c>
      <c r="AF3" s="139" t="s">
        <v>134</v>
      </c>
      <c r="AG3" s="134"/>
      <c r="AH3" s="134"/>
      <c r="AI3" s="135"/>
      <c r="AJ3" s="136" t="s">
        <v>132</v>
      </c>
      <c r="AK3" s="137" t="s">
        <v>133</v>
      </c>
      <c r="AL3" s="139" t="s">
        <v>134</v>
      </c>
      <c r="AM3" s="134"/>
      <c r="AN3" s="134"/>
      <c r="AO3" s="135"/>
      <c r="AP3" s="136" t="s">
        <v>132</v>
      </c>
      <c r="AQ3" s="137" t="s">
        <v>133</v>
      </c>
      <c r="AR3" s="139" t="s">
        <v>134</v>
      </c>
      <c r="AS3" s="134"/>
      <c r="AT3" s="134"/>
      <c r="AU3" s="135"/>
      <c r="AV3" s="136" t="s">
        <v>132</v>
      </c>
      <c r="AW3" s="137" t="s">
        <v>133</v>
      </c>
      <c r="AX3" s="139" t="s">
        <v>134</v>
      </c>
      <c r="AY3" s="134"/>
      <c r="AZ3" s="134"/>
      <c r="BA3" s="135"/>
      <c r="BB3" s="136" t="s">
        <v>132</v>
      </c>
      <c r="BC3" s="137" t="s">
        <v>133</v>
      </c>
      <c r="BD3" s="139" t="s">
        <v>134</v>
      </c>
      <c r="BE3" s="134"/>
      <c r="BF3" s="134"/>
      <c r="BG3" s="135"/>
      <c r="BH3" s="136" t="s">
        <v>132</v>
      </c>
      <c r="BI3" s="137" t="s">
        <v>133</v>
      </c>
      <c r="BJ3" s="139" t="s">
        <v>134</v>
      </c>
      <c r="BK3" s="134"/>
      <c r="BL3" s="134"/>
      <c r="BM3" s="135"/>
      <c r="BN3" s="136" t="s">
        <v>132</v>
      </c>
      <c r="BO3" s="137" t="s">
        <v>133</v>
      </c>
      <c r="BP3" s="139" t="s">
        <v>134</v>
      </c>
      <c r="BQ3" s="134"/>
      <c r="BR3" s="134"/>
      <c r="BS3" s="135"/>
      <c r="BT3" s="136" t="s">
        <v>132</v>
      </c>
      <c r="BU3" s="137" t="s">
        <v>133</v>
      </c>
      <c r="BV3" s="139" t="s">
        <v>134</v>
      </c>
      <c r="BX3" s="170" t="s">
        <v>123</v>
      </c>
      <c r="BY3" s="171" t="s">
        <v>131</v>
      </c>
      <c r="BZ3" s="172" t="s">
        <v>136</v>
      </c>
      <c r="CA3" s="136" t="s">
        <v>132</v>
      </c>
      <c r="CB3" s="137" t="s">
        <v>133</v>
      </c>
      <c r="CC3" s="139" t="s">
        <v>134</v>
      </c>
    </row>
    <row r="4" spans="1:81" x14ac:dyDescent="0.2">
      <c r="A4" s="146" t="s">
        <v>68</v>
      </c>
      <c r="B4" s="200" t="s">
        <v>111</v>
      </c>
      <c r="C4" s="108">
        <f>IF(C$1='Simplified Budget'!D$1,VLOOKUP($B4,'Simplified Budget'!$C$3:$O$17,2,),0)</f>
        <v>45300</v>
      </c>
      <c r="D4" s="120">
        <v>45300</v>
      </c>
      <c r="E4" s="128">
        <v>33435.24</v>
      </c>
      <c r="F4" s="115">
        <f>D4-C4</f>
        <v>0</v>
      </c>
      <c r="G4" s="116">
        <f t="shared" ref="G4:G11" si="0">E4-C4</f>
        <v>-11864.760000000002</v>
      </c>
      <c r="H4" s="140">
        <f t="shared" ref="H4:H11" si="1">E4-D4</f>
        <v>-11864.760000000002</v>
      </c>
      <c r="I4" s="108">
        <f>IF(I$1='Simplified Budget'!E$1,VLOOKUP($B4,'Simplified Budget'!$C$3:$O$17,3,),0)</f>
        <v>405300</v>
      </c>
      <c r="J4" s="120">
        <v>405300</v>
      </c>
      <c r="K4" s="128">
        <v>379731.88</v>
      </c>
      <c r="L4" s="115">
        <f>J4-I4</f>
        <v>0</v>
      </c>
      <c r="M4" s="116">
        <f t="shared" ref="M4:M11" si="2">K4-I4</f>
        <v>-25568.119999999995</v>
      </c>
      <c r="N4" s="140">
        <f t="shared" ref="N4:N11" si="3">K4-J4</f>
        <v>-25568.119999999995</v>
      </c>
      <c r="O4" s="108">
        <f>IF(O$1='Simplified Budget'!F$1,VLOOKUP($B4,'Simplified Budget'!$C$3:$O$17,4,),0)</f>
        <v>74300</v>
      </c>
      <c r="P4" s="120">
        <f>74300-4150</f>
        <v>70150</v>
      </c>
      <c r="Q4" s="128">
        <v>40210.620000000003</v>
      </c>
      <c r="R4" s="115">
        <f>P4-O4</f>
        <v>-4150</v>
      </c>
      <c r="S4" s="116">
        <f t="shared" ref="S4:S11" si="4">Q4-O4</f>
        <v>-34089.379999999997</v>
      </c>
      <c r="T4" s="140">
        <f t="shared" ref="T4:T11" si="5">Q4-P4</f>
        <v>-29939.379999999997</v>
      </c>
      <c r="U4" s="108">
        <f>IF(U$1='Simplified Budget'!G$1,VLOOKUP($B4,'Simplified Budget'!$C$3:$O$17,5,),0)</f>
        <v>74800</v>
      </c>
      <c r="V4" s="120">
        <f>74800+10000</f>
        <v>84800</v>
      </c>
      <c r="W4" s="128">
        <v>403769</v>
      </c>
      <c r="X4" s="115">
        <f>V4-U4</f>
        <v>10000</v>
      </c>
      <c r="Y4" s="116">
        <f t="shared" ref="Y4:Y11" si="6">W4-U4</f>
        <v>328969</v>
      </c>
      <c r="Z4" s="140">
        <f t="shared" ref="Z4:Z11" si="7">W4-V4</f>
        <v>318969</v>
      </c>
      <c r="AA4" s="108">
        <f>IF(AA$1='Simplified Budget'!H$1,VLOOKUP($B4,'Simplified Budget'!$C$3:$O$17,6,),0)</f>
        <v>46000</v>
      </c>
      <c r="AB4" s="120">
        <f>46000-20000</f>
        <v>26000</v>
      </c>
      <c r="AC4" s="128">
        <v>20186</v>
      </c>
      <c r="AD4" s="115">
        <f>AB4-AA4</f>
        <v>-20000</v>
      </c>
      <c r="AE4" s="116">
        <f t="shared" ref="AE4:AE11" si="8">AC4-AA4</f>
        <v>-25814</v>
      </c>
      <c r="AF4" s="140">
        <f t="shared" ref="AF4:AF11" si="9">AC4-AB4</f>
        <v>-5814</v>
      </c>
      <c r="AG4" s="108">
        <f>IF(AG$1='Simplified Budget'!I$1,VLOOKUP($B4,'Simplified Budget'!$C$3:$O$17,7,),0)</f>
        <v>154800</v>
      </c>
      <c r="AH4" s="120">
        <f>154800-20000+5000+4000-60000</f>
        <v>83800</v>
      </c>
      <c r="AI4" s="128">
        <v>30644</v>
      </c>
      <c r="AJ4" s="115">
        <f>AH4-AG4</f>
        <v>-71000</v>
      </c>
      <c r="AK4" s="116">
        <f t="shared" ref="AK4:AK11" si="10">AI4-AG4</f>
        <v>-124156</v>
      </c>
      <c r="AL4" s="140">
        <f t="shared" ref="AL4:AL11" si="11">AI4-AH4</f>
        <v>-53156</v>
      </c>
      <c r="AM4" s="108">
        <f>IF(AM$1='Simplified Budget'!J$1,VLOOKUP($B4,'Simplified Budget'!$C$3:$O$17,8,),0)</f>
        <v>106800</v>
      </c>
      <c r="AN4" s="120">
        <f>106800-5000-15000+76000-10000+4150+5000+500+40000+10000+5000+5000-3000</f>
        <v>219450</v>
      </c>
      <c r="AO4" s="128">
        <v>198055</v>
      </c>
      <c r="AP4" s="115">
        <f>AN4-AM4</f>
        <v>112650</v>
      </c>
      <c r="AQ4" s="116">
        <f t="shared" ref="AQ4:AQ11" si="12">AO4-AM4</f>
        <v>91255</v>
      </c>
      <c r="AR4" s="140">
        <f t="shared" ref="AR4:AR11" si="13">AO4-AN4</f>
        <v>-21395</v>
      </c>
      <c r="AS4" s="108">
        <f>IF(AS$1='Simplified Budget'!K$1,VLOOKUP($B4,'Simplified Budget'!$C$3:$O$17,9,),0)</f>
        <v>213600</v>
      </c>
      <c r="AT4" s="120">
        <f>213600-17000+35000+5000-5000-25000+1000000+10000</f>
        <v>1216600</v>
      </c>
      <c r="AU4" s="128">
        <v>0</v>
      </c>
      <c r="AV4" s="115">
        <f>AT4-AS4</f>
        <v>1003000</v>
      </c>
      <c r="AW4" s="116">
        <f t="shared" ref="AW4:AW11" si="14">AU4-AS4</f>
        <v>-213600</v>
      </c>
      <c r="AX4" s="140">
        <f t="shared" ref="AX4:AX11" si="15">AU4-AT4</f>
        <v>-1216600</v>
      </c>
      <c r="AY4" s="108">
        <f>IF(AY$1='Simplified Budget'!L$1,VLOOKUP($B4,'Simplified Budget'!$C$3:$O$17,10,),0)</f>
        <v>146800</v>
      </c>
      <c r="AZ4" s="120">
        <f>146800-10000-15000</f>
        <v>121800</v>
      </c>
      <c r="BA4" s="128">
        <v>0</v>
      </c>
      <c r="BB4" s="115">
        <f>AZ4-AY4</f>
        <v>-25000</v>
      </c>
      <c r="BC4" s="116">
        <f t="shared" ref="BC4:BC11" si="16">BA4-AY4</f>
        <v>-146800</v>
      </c>
      <c r="BD4" s="140">
        <f t="shared" ref="BD4:BD11" si="17">BA4-AZ4</f>
        <v>-121800</v>
      </c>
      <c r="BE4" s="108">
        <f>IF(BE$1='Simplified Budget'!M$1,VLOOKUP($B4,'Simplified Budget'!$C$3:$O$17,11,),0)</f>
        <v>107800</v>
      </c>
      <c r="BF4" s="120">
        <f>107800+15000+10000+25000</f>
        <v>157800</v>
      </c>
      <c r="BG4" s="128">
        <v>0</v>
      </c>
      <c r="BH4" s="115">
        <f>BF4-BE4</f>
        <v>50000</v>
      </c>
      <c r="BI4" s="116">
        <f t="shared" ref="BI4:BI11" si="18">BG4-BE4</f>
        <v>-107800</v>
      </c>
      <c r="BJ4" s="140">
        <f t="shared" ref="BJ4:BJ11" si="19">BG4-BF4</f>
        <v>-157800</v>
      </c>
      <c r="BK4" s="108">
        <f>IF(BK$1='Simplified Budget'!N$1,VLOOKUP($B4,'Simplified Budget'!$C$3:$O$17,12,),0)</f>
        <v>30800</v>
      </c>
      <c r="BL4" s="120">
        <v>30800</v>
      </c>
      <c r="BM4" s="128">
        <v>0</v>
      </c>
      <c r="BN4" s="115">
        <f>BL4-BK4</f>
        <v>0</v>
      </c>
      <c r="BO4" s="116">
        <f t="shared" ref="BO4:BO11" si="20">BM4-BK4</f>
        <v>-30800</v>
      </c>
      <c r="BP4" s="140">
        <f t="shared" ref="BP4:BP11" si="21">BM4-BL4</f>
        <v>-30800</v>
      </c>
      <c r="BQ4" s="108">
        <f>IF(BQ$1='Simplified Budget'!O$1,VLOOKUP($B4,'Simplified Budget'!$C$3:$O$17,13,),0)</f>
        <v>58500</v>
      </c>
      <c r="BR4" s="120">
        <v>58500</v>
      </c>
      <c r="BS4" s="128">
        <v>0</v>
      </c>
      <c r="BT4" s="115">
        <f>BR4-BQ4</f>
        <v>0</v>
      </c>
      <c r="BU4" s="116">
        <f t="shared" ref="BU4:BU11" si="22">BS4-BQ4</f>
        <v>-58500</v>
      </c>
      <c r="BV4" s="140">
        <f t="shared" ref="BV4:BV11" si="23">BS4-BR4</f>
        <v>-58500</v>
      </c>
      <c r="BX4" s="173">
        <f>C4+I4+O4+U4+AA4+AG4+AM4+AS4+AY4+BE4+BK4+BQ4</f>
        <v>1464800</v>
      </c>
      <c r="BY4" s="174">
        <f>D4+J4+P4+V4+AB4+AH4+AN4+AT4+AZ4+BF4+BL4+BR4</f>
        <v>2520300</v>
      </c>
      <c r="BZ4" s="175">
        <f>(IF(E4=0,D4,E4)+IF(K4=0,J4,K4)+IF(Q4=0,P4,Q4)+IF(W4=0,V4,W4)+IF(AC4=0,AB4,AC4)+IF(AI4=0,AH4,AI4)+IF(AO4=0,AN4,AO4)+IF(AU4=0,AT4,AU4)+IF(BA4=0,AZ4,BA4)+IF(BG4=0,BF4,BG4)+IF(BM4=0,BL4,BM4)+IF(BS4=0,BR4,BS4))</f>
        <v>2691531.74</v>
      </c>
      <c r="CA4" s="115">
        <f>BY4-BX4</f>
        <v>1055500</v>
      </c>
      <c r="CB4" s="116">
        <f t="shared" ref="CB4:CB11" si="24">BZ4-BX4</f>
        <v>1226731.7400000002</v>
      </c>
      <c r="CC4" s="140">
        <f t="shared" ref="CC4:CC11" si="25">BZ4-BY4</f>
        <v>171231.74000000022</v>
      </c>
    </row>
    <row r="5" spans="1:81" x14ac:dyDescent="0.2">
      <c r="A5" s="146" t="s">
        <v>68</v>
      </c>
      <c r="B5" s="200" t="s">
        <v>112</v>
      </c>
      <c r="C5" s="108">
        <f>IF(C$1='Simplified Budget'!D$1,VLOOKUP($B5,'Simplified Budget'!$C$3:$O$17,2,),0)</f>
        <v>133448</v>
      </c>
      <c r="D5" s="120">
        <v>133448</v>
      </c>
      <c r="E5" s="128">
        <v>139348.85999999999</v>
      </c>
      <c r="F5" s="115">
        <f t="shared" ref="F5:F11" si="26">D5-C5</f>
        <v>0</v>
      </c>
      <c r="G5" s="116">
        <f t="shared" si="0"/>
        <v>5900.859999999986</v>
      </c>
      <c r="H5" s="140">
        <f t="shared" si="1"/>
        <v>5900.859999999986</v>
      </c>
      <c r="I5" s="108">
        <f>IF(I$1='Simplified Budget'!E$1,VLOOKUP($B5,'Simplified Budget'!$C$3:$O$17,3,),0)</f>
        <v>133448</v>
      </c>
      <c r="J5" s="120">
        <v>133448</v>
      </c>
      <c r="K5" s="128">
        <v>139360.41</v>
      </c>
      <c r="L5" s="115">
        <f t="shared" ref="L5:L11" si="27">J5-I5</f>
        <v>0</v>
      </c>
      <c r="M5" s="116">
        <f t="shared" si="2"/>
        <v>5912.4100000000035</v>
      </c>
      <c r="N5" s="140">
        <f t="shared" si="3"/>
        <v>5912.4100000000035</v>
      </c>
      <c r="O5" s="108">
        <f>IF(O$1='Simplified Budget'!F$1,VLOOKUP($B5,'Simplified Budget'!$C$3:$O$17,4,),0)</f>
        <v>133448</v>
      </c>
      <c r="P5" s="120">
        <v>133448</v>
      </c>
      <c r="Q5" s="128">
        <v>139348.85999999999</v>
      </c>
      <c r="R5" s="115">
        <f t="shared" ref="R5:R11" si="28">P5-O5</f>
        <v>0</v>
      </c>
      <c r="S5" s="116">
        <f t="shared" si="4"/>
        <v>5900.859999999986</v>
      </c>
      <c r="T5" s="140">
        <f t="shared" si="5"/>
        <v>5900.859999999986</v>
      </c>
      <c r="U5" s="108">
        <f>IF(U$1='Simplified Budget'!G$1,VLOOKUP($B5,'Simplified Budget'!$C$3:$O$17,5,),0)</f>
        <v>133448</v>
      </c>
      <c r="V5" s="120">
        <v>133448</v>
      </c>
      <c r="W5" s="128">
        <v>139360.41</v>
      </c>
      <c r="X5" s="115">
        <f t="shared" ref="X5:X11" si="29">V5-U5</f>
        <v>0</v>
      </c>
      <c r="Y5" s="116">
        <f t="shared" si="6"/>
        <v>5912.4100000000035</v>
      </c>
      <c r="Z5" s="140">
        <f t="shared" si="7"/>
        <v>5912.4100000000035</v>
      </c>
      <c r="AA5" s="108">
        <f>IF(AA$1='Simplified Budget'!H$1,VLOOKUP($B5,'Simplified Budget'!$C$3:$O$17,6,),0)</f>
        <v>133448</v>
      </c>
      <c r="AB5" s="120">
        <v>133448</v>
      </c>
      <c r="AC5" s="128">
        <v>139436</v>
      </c>
      <c r="AD5" s="115">
        <f t="shared" ref="AD5:AD11" si="30">AB5-AA5</f>
        <v>0</v>
      </c>
      <c r="AE5" s="116">
        <f t="shared" si="8"/>
        <v>5988</v>
      </c>
      <c r="AF5" s="140">
        <f t="shared" si="9"/>
        <v>5988</v>
      </c>
      <c r="AG5" s="108">
        <f>IF(AG$1='Simplified Budget'!I$1,VLOOKUP($B5,'Simplified Budget'!$C$3:$O$17,7,),0)</f>
        <v>133448</v>
      </c>
      <c r="AH5" s="120">
        <f>(133448*1.02)+(133448*5*0.02)</f>
        <v>149461.75999999998</v>
      </c>
      <c r="AI5" s="128">
        <v>155251</v>
      </c>
      <c r="AJ5" s="115">
        <f t="shared" ref="AJ5:AJ11" si="31">AH5-AG5</f>
        <v>16013.75999999998</v>
      </c>
      <c r="AK5" s="116">
        <f t="shared" si="10"/>
        <v>21803</v>
      </c>
      <c r="AL5" s="140">
        <f t="shared" si="11"/>
        <v>5789.2400000000198</v>
      </c>
      <c r="AM5" s="108">
        <f>IF(AM$1='Simplified Budget'!J$1,VLOOKUP($B5,'Simplified Budget'!$C$3:$O$17,8,),0)</f>
        <v>133448</v>
      </c>
      <c r="AN5" s="120">
        <f>133448*1.02</f>
        <v>136116.96</v>
      </c>
      <c r="AO5" s="128">
        <v>144902</v>
      </c>
      <c r="AP5" s="115">
        <f t="shared" ref="AP5:AP11" si="32">AN5-AM5</f>
        <v>2668.9599999999919</v>
      </c>
      <c r="AQ5" s="116">
        <f t="shared" si="12"/>
        <v>11454</v>
      </c>
      <c r="AR5" s="140">
        <f t="shared" si="13"/>
        <v>8785.0400000000081</v>
      </c>
      <c r="AS5" s="108">
        <f>IF(AS$1='Simplified Budget'!K$1,VLOOKUP($B5,'Simplified Budget'!$C$3:$O$17,9,),0)</f>
        <v>133448</v>
      </c>
      <c r="AT5" s="120">
        <f>133448*1.02</f>
        <v>136116.96</v>
      </c>
      <c r="AU5" s="128">
        <v>0</v>
      </c>
      <c r="AV5" s="115">
        <f t="shared" ref="AV5:AV11" si="33">AT5-AS5</f>
        <v>2668.9599999999919</v>
      </c>
      <c r="AW5" s="116">
        <f t="shared" si="14"/>
        <v>-133448</v>
      </c>
      <c r="AX5" s="140">
        <f t="shared" si="15"/>
        <v>-136116.96</v>
      </c>
      <c r="AY5" s="108">
        <f>IF(AY$1='Simplified Budget'!L$1,VLOOKUP($B5,'Simplified Budget'!$C$3:$O$17,10,),0)</f>
        <v>133448</v>
      </c>
      <c r="AZ5" s="120">
        <f>133448*1.02</f>
        <v>136116.96</v>
      </c>
      <c r="BA5" s="128">
        <v>0</v>
      </c>
      <c r="BB5" s="115">
        <f t="shared" ref="BB5:BB11" si="34">AZ5-AY5</f>
        <v>2668.9599999999919</v>
      </c>
      <c r="BC5" s="116">
        <f t="shared" si="16"/>
        <v>-133448</v>
      </c>
      <c r="BD5" s="140">
        <f t="shared" si="17"/>
        <v>-136116.96</v>
      </c>
      <c r="BE5" s="108">
        <f>IF(BE$1='Simplified Budget'!M$1,VLOOKUP($B5,'Simplified Budget'!$C$3:$O$17,11,),0)</f>
        <v>133448</v>
      </c>
      <c r="BF5" s="120">
        <f>133448*1.02</f>
        <v>136116.96</v>
      </c>
      <c r="BG5" s="128">
        <v>0</v>
      </c>
      <c r="BH5" s="115">
        <f t="shared" ref="BH5:BH11" si="35">BF5-BE5</f>
        <v>2668.9599999999919</v>
      </c>
      <c r="BI5" s="116">
        <f t="shared" si="18"/>
        <v>-133448</v>
      </c>
      <c r="BJ5" s="140">
        <f t="shared" si="19"/>
        <v>-136116.96</v>
      </c>
      <c r="BK5" s="108">
        <f>IF(BK$1='Simplified Budget'!N$1,VLOOKUP($B5,'Simplified Budget'!$C$3:$O$17,12,),0)</f>
        <v>133448</v>
      </c>
      <c r="BL5" s="120">
        <f>133448*1.02</f>
        <v>136116.96</v>
      </c>
      <c r="BM5" s="128">
        <v>0</v>
      </c>
      <c r="BN5" s="115">
        <f t="shared" ref="BN5:BN11" si="36">BL5-BK5</f>
        <v>2668.9599999999919</v>
      </c>
      <c r="BO5" s="116">
        <f t="shared" si="20"/>
        <v>-133448</v>
      </c>
      <c r="BP5" s="140">
        <f t="shared" si="21"/>
        <v>-136116.96</v>
      </c>
      <c r="BQ5" s="108">
        <f>IF(BQ$1='Simplified Budget'!O$1,VLOOKUP($B5,'Simplified Budget'!$C$3:$O$17,13,),0)</f>
        <v>133451</v>
      </c>
      <c r="BR5" s="120">
        <f>133448*1.02</f>
        <v>136116.96</v>
      </c>
      <c r="BS5" s="128">
        <v>0</v>
      </c>
      <c r="BT5" s="115">
        <f t="shared" ref="BT5:BT11" si="37">BR5-BQ5</f>
        <v>2665.9599999999919</v>
      </c>
      <c r="BU5" s="116">
        <f t="shared" si="22"/>
        <v>-133451</v>
      </c>
      <c r="BV5" s="140">
        <f t="shared" si="23"/>
        <v>-136116.96</v>
      </c>
      <c r="BX5" s="173">
        <f t="shared" ref="BX5:BY11" si="38">C5+I5+O5+U5+AA5+AG5+AM5+AS5+AY5+BE5+BK5+BQ5</f>
        <v>1601379</v>
      </c>
      <c r="BY5" s="174">
        <f t="shared" si="38"/>
        <v>1633403.5199999998</v>
      </c>
      <c r="BZ5" s="175">
        <f t="shared" ref="BZ5:BZ11" si="39">(IF(E5=0,D5,E5)+IF(K5=0,J5,K5)+IF(Q5=0,P5,Q5)+IF(W5=0,V5,W5)+IF(AC5=0,AB5,AC5)+IF(AI5=0,AH5,AI5)+IF(AO5=0,AN5,AO5)+IF(AU5=0,AT5,AU5)+IF(BA5=0,AZ5,BA5)+IF(BG5=0,BF5,BG5)+IF(BM5=0,BL5,BM5)+IF(BS5=0,BR5,BS5))</f>
        <v>1677592.3399999999</v>
      </c>
      <c r="CA5" s="115">
        <f t="shared" ref="CA5:CA11" si="40">BY5-BX5</f>
        <v>32024.519999999786</v>
      </c>
      <c r="CB5" s="116">
        <f t="shared" si="24"/>
        <v>76213.339999999851</v>
      </c>
      <c r="CC5" s="140">
        <f t="shared" si="25"/>
        <v>44188.820000000065</v>
      </c>
    </row>
    <row r="6" spans="1:81" x14ac:dyDescent="0.2">
      <c r="A6" s="147"/>
      <c r="B6" s="201" t="s">
        <v>113</v>
      </c>
      <c r="C6" s="108">
        <f>IF(C$1='Simplified Budget'!D$1,VLOOKUP($B6,'Simplified Budget'!$C$3:$O$17,2,),0)</f>
        <v>18574.919999999998</v>
      </c>
      <c r="D6" s="120">
        <v>18574.919999999998</v>
      </c>
      <c r="E6" s="128">
        <v>16160</v>
      </c>
      <c r="F6" s="115">
        <f t="shared" si="26"/>
        <v>0</v>
      </c>
      <c r="G6" s="116">
        <f t="shared" si="0"/>
        <v>-2414.9199999999983</v>
      </c>
      <c r="H6" s="140">
        <f t="shared" si="1"/>
        <v>-2414.9199999999983</v>
      </c>
      <c r="I6" s="108">
        <f>IF(I$1='Simplified Budget'!E$1,VLOOKUP($B6,'Simplified Budget'!$C$3:$O$17,3,),0)</f>
        <v>18574.919999999998</v>
      </c>
      <c r="J6" s="120">
        <v>18574.919999999998</v>
      </c>
      <c r="K6" s="128">
        <v>16160</v>
      </c>
      <c r="L6" s="115">
        <f t="shared" si="27"/>
        <v>0</v>
      </c>
      <c r="M6" s="116">
        <f t="shared" si="2"/>
        <v>-2414.9199999999983</v>
      </c>
      <c r="N6" s="140">
        <f t="shared" si="3"/>
        <v>-2414.9199999999983</v>
      </c>
      <c r="O6" s="108">
        <f>IF(O$1='Simplified Budget'!F$1,VLOOKUP($B6,'Simplified Budget'!$C$3:$O$17,4,),0)</f>
        <v>18574.919999999998</v>
      </c>
      <c r="P6" s="120">
        <v>18574.919999999998</v>
      </c>
      <c r="Q6" s="128">
        <v>16160</v>
      </c>
      <c r="R6" s="115">
        <f t="shared" si="28"/>
        <v>0</v>
      </c>
      <c r="S6" s="116">
        <f t="shared" si="4"/>
        <v>-2414.9199999999983</v>
      </c>
      <c r="T6" s="140">
        <f t="shared" si="5"/>
        <v>-2414.9199999999983</v>
      </c>
      <c r="U6" s="108">
        <f>IF(U$1='Simplified Budget'!G$1,VLOOKUP($B6,'Simplified Budget'!$C$3:$O$17,5,),0)</f>
        <v>18574.919999999998</v>
      </c>
      <c r="V6" s="120">
        <v>18574.919999999998</v>
      </c>
      <c r="W6" s="128">
        <v>16160</v>
      </c>
      <c r="X6" s="115">
        <f t="shared" si="29"/>
        <v>0</v>
      </c>
      <c r="Y6" s="116">
        <f t="shared" si="6"/>
        <v>-2414.9199999999983</v>
      </c>
      <c r="Z6" s="140">
        <f t="shared" si="7"/>
        <v>-2414.9199999999983</v>
      </c>
      <c r="AA6" s="108">
        <f>IF(AA$1='Simplified Budget'!H$1,VLOOKUP($B6,'Simplified Budget'!$C$3:$O$17,6,),0)</f>
        <v>18574.919999999998</v>
      </c>
      <c r="AB6" s="120">
        <f>18574.92-2415</f>
        <v>16159.919999999998</v>
      </c>
      <c r="AC6" s="128">
        <v>16160</v>
      </c>
      <c r="AD6" s="115">
        <f t="shared" si="30"/>
        <v>-2415</v>
      </c>
      <c r="AE6" s="116">
        <f t="shared" si="8"/>
        <v>-2414.9199999999983</v>
      </c>
      <c r="AF6" s="140">
        <f t="shared" si="9"/>
        <v>8.000000000174623E-2</v>
      </c>
      <c r="AG6" s="108">
        <f>IF(AG$1='Simplified Budget'!I$1,VLOOKUP($B6,'Simplified Budget'!$C$3:$O$17,7,),0)</f>
        <v>18574.919999999998</v>
      </c>
      <c r="AH6" s="120">
        <f>18574.92-2415</f>
        <v>16159.919999999998</v>
      </c>
      <c r="AI6" s="128">
        <v>16160</v>
      </c>
      <c r="AJ6" s="115">
        <f t="shared" si="31"/>
        <v>-2415</v>
      </c>
      <c r="AK6" s="116">
        <f t="shared" si="10"/>
        <v>-2414.9199999999983</v>
      </c>
      <c r="AL6" s="140">
        <f t="shared" si="11"/>
        <v>8.000000000174623E-2</v>
      </c>
      <c r="AM6" s="108">
        <f>IF(AM$1='Simplified Budget'!J$1,VLOOKUP($B6,'Simplified Budget'!$C$3:$O$17,8,),0)</f>
        <v>18574.919999999998</v>
      </c>
      <c r="AN6" s="120">
        <f>18574.92-2415</f>
        <v>16159.919999999998</v>
      </c>
      <c r="AO6" s="128">
        <v>16160</v>
      </c>
      <c r="AP6" s="115">
        <f t="shared" si="32"/>
        <v>-2415</v>
      </c>
      <c r="AQ6" s="116">
        <f t="shared" si="12"/>
        <v>-2414.9199999999983</v>
      </c>
      <c r="AR6" s="140">
        <f t="shared" si="13"/>
        <v>8.000000000174623E-2</v>
      </c>
      <c r="AS6" s="108">
        <f>IF(AS$1='Simplified Budget'!K$1,VLOOKUP($B6,'Simplified Budget'!$C$3:$O$17,9,),0)</f>
        <v>18574.919999999998</v>
      </c>
      <c r="AT6" s="120">
        <f>18574.92-2415</f>
        <v>16159.919999999998</v>
      </c>
      <c r="AU6" s="128">
        <v>0</v>
      </c>
      <c r="AV6" s="115">
        <f t="shared" si="33"/>
        <v>-2415</v>
      </c>
      <c r="AW6" s="116">
        <f t="shared" si="14"/>
        <v>-18574.919999999998</v>
      </c>
      <c r="AX6" s="140">
        <f t="shared" si="15"/>
        <v>-16159.919999999998</v>
      </c>
      <c r="AY6" s="108">
        <f>IF(AY$1='Simplified Budget'!L$1,VLOOKUP($B6,'Simplified Budget'!$C$3:$O$17,10,),0)</f>
        <v>18574.919999999998</v>
      </c>
      <c r="AZ6" s="120">
        <f>18574.92-2415</f>
        <v>16159.919999999998</v>
      </c>
      <c r="BA6" s="128">
        <v>0</v>
      </c>
      <c r="BB6" s="115">
        <f t="shared" si="34"/>
        <v>-2415</v>
      </c>
      <c r="BC6" s="116">
        <f t="shared" si="16"/>
        <v>-18574.919999999998</v>
      </c>
      <c r="BD6" s="140">
        <f t="shared" si="17"/>
        <v>-16159.919999999998</v>
      </c>
      <c r="BE6" s="108">
        <f>IF(BE$1='Simplified Budget'!M$1,VLOOKUP($B6,'Simplified Budget'!$C$3:$O$17,11,),0)</f>
        <v>18574.919999999998</v>
      </c>
      <c r="BF6" s="120">
        <f>18574.92-2415</f>
        <v>16159.919999999998</v>
      </c>
      <c r="BG6" s="128">
        <v>0</v>
      </c>
      <c r="BH6" s="115">
        <f t="shared" si="35"/>
        <v>-2415</v>
      </c>
      <c r="BI6" s="116">
        <f t="shared" si="18"/>
        <v>-18574.919999999998</v>
      </c>
      <c r="BJ6" s="140">
        <f t="shared" si="19"/>
        <v>-16159.919999999998</v>
      </c>
      <c r="BK6" s="108">
        <f>IF(BK$1='Simplified Budget'!N$1,VLOOKUP($B6,'Simplified Budget'!$C$3:$O$17,12,),0)</f>
        <v>18574.919999999998</v>
      </c>
      <c r="BL6" s="120">
        <f>18574.92-2415</f>
        <v>16159.919999999998</v>
      </c>
      <c r="BM6" s="128">
        <v>0</v>
      </c>
      <c r="BN6" s="115">
        <f t="shared" si="36"/>
        <v>-2415</v>
      </c>
      <c r="BO6" s="116">
        <f t="shared" si="20"/>
        <v>-18574.919999999998</v>
      </c>
      <c r="BP6" s="140">
        <f t="shared" si="21"/>
        <v>-16159.919999999998</v>
      </c>
      <c r="BQ6" s="108">
        <f>IF(BQ$1='Simplified Budget'!O$1,VLOOKUP($B6,'Simplified Budget'!$C$3:$O$17,13,),0)</f>
        <v>18574.88</v>
      </c>
      <c r="BR6" s="120">
        <f>18574.92-2415</f>
        <v>16159.919999999998</v>
      </c>
      <c r="BS6" s="128">
        <v>0</v>
      </c>
      <c r="BT6" s="115">
        <f t="shared" si="37"/>
        <v>-2414.9600000000028</v>
      </c>
      <c r="BU6" s="116">
        <f t="shared" si="22"/>
        <v>-18574.88</v>
      </c>
      <c r="BV6" s="140">
        <f t="shared" si="23"/>
        <v>-16159.919999999998</v>
      </c>
      <c r="BX6" s="173">
        <f t="shared" si="38"/>
        <v>222898.99999999994</v>
      </c>
      <c r="BY6" s="174">
        <f t="shared" si="38"/>
        <v>203579.03999999992</v>
      </c>
      <c r="BZ6" s="175">
        <f t="shared" si="39"/>
        <v>193919.59999999998</v>
      </c>
      <c r="CA6" s="115">
        <f t="shared" si="40"/>
        <v>-19319.960000000021</v>
      </c>
      <c r="CB6" s="116">
        <f t="shared" si="24"/>
        <v>-28979.399999999965</v>
      </c>
      <c r="CC6" s="140">
        <f t="shared" si="25"/>
        <v>-9659.4399999999441</v>
      </c>
    </row>
    <row r="7" spans="1:81" x14ac:dyDescent="0.2">
      <c r="A7" s="146" t="s">
        <v>68</v>
      </c>
      <c r="B7" s="200" t="s">
        <v>114</v>
      </c>
      <c r="C7" s="108">
        <f>IF(C$1='Simplified Budget'!D$1,VLOOKUP($B7,'Simplified Budget'!$C$3:$O$17,2,),0)</f>
        <v>130750</v>
      </c>
      <c r="D7" s="120">
        <v>130750</v>
      </c>
      <c r="E7" s="128">
        <v>130815.63</v>
      </c>
      <c r="F7" s="115">
        <f t="shared" si="26"/>
        <v>0</v>
      </c>
      <c r="G7" s="116">
        <f t="shared" si="0"/>
        <v>65.630000000004657</v>
      </c>
      <c r="H7" s="140">
        <f t="shared" si="1"/>
        <v>65.630000000004657</v>
      </c>
      <c r="I7" s="108">
        <f>IF(I$1='Simplified Budget'!E$1,VLOOKUP($B7,'Simplified Budget'!$C$3:$O$17,3,),0)</f>
        <v>0</v>
      </c>
      <c r="J7" s="120">
        <v>0</v>
      </c>
      <c r="K7" s="128">
        <v>0</v>
      </c>
      <c r="L7" s="115">
        <f t="shared" si="27"/>
        <v>0</v>
      </c>
      <c r="M7" s="116">
        <f t="shared" si="2"/>
        <v>0</v>
      </c>
      <c r="N7" s="140">
        <f t="shared" si="3"/>
        <v>0</v>
      </c>
      <c r="O7" s="108">
        <f>IF(O$1='Simplified Budget'!F$1,VLOOKUP($B7,'Simplified Budget'!$C$3:$O$17,4,),0)</f>
        <v>0</v>
      </c>
      <c r="P7" s="120">
        <v>0</v>
      </c>
      <c r="Q7" s="128">
        <v>0</v>
      </c>
      <c r="R7" s="115">
        <f t="shared" si="28"/>
        <v>0</v>
      </c>
      <c r="S7" s="116">
        <f t="shared" si="4"/>
        <v>0</v>
      </c>
      <c r="T7" s="140">
        <f t="shared" si="5"/>
        <v>0</v>
      </c>
      <c r="U7" s="108">
        <f>IF(U$1='Simplified Budget'!G$1,VLOOKUP($B7,'Simplified Budget'!$C$3:$O$17,5,),0)</f>
        <v>130750</v>
      </c>
      <c r="V7" s="120">
        <v>130750</v>
      </c>
      <c r="W7" s="128">
        <v>130815.63</v>
      </c>
      <c r="X7" s="115">
        <f t="shared" si="29"/>
        <v>0</v>
      </c>
      <c r="Y7" s="116">
        <f t="shared" si="6"/>
        <v>65.630000000004657</v>
      </c>
      <c r="Z7" s="140">
        <f t="shared" si="7"/>
        <v>65.630000000004657</v>
      </c>
      <c r="AA7" s="108">
        <f>IF(AA$1='Simplified Budget'!H$1,VLOOKUP($B7,'Simplified Budget'!$C$3:$O$17,6,),0)</f>
        <v>0</v>
      </c>
      <c r="AB7" s="120">
        <v>0</v>
      </c>
      <c r="AC7" s="128">
        <v>0</v>
      </c>
      <c r="AD7" s="115">
        <f t="shared" si="30"/>
        <v>0</v>
      </c>
      <c r="AE7" s="116">
        <f t="shared" si="8"/>
        <v>0</v>
      </c>
      <c r="AF7" s="140">
        <f t="shared" si="9"/>
        <v>0</v>
      </c>
      <c r="AG7" s="108">
        <f>IF(AG$1='Simplified Budget'!I$1,VLOOKUP($B7,'Simplified Budget'!$C$3:$O$17,7,),0)</f>
        <v>0</v>
      </c>
      <c r="AH7" s="120">
        <v>0</v>
      </c>
      <c r="AI7" s="128">
        <v>0</v>
      </c>
      <c r="AJ7" s="115">
        <f t="shared" si="31"/>
        <v>0</v>
      </c>
      <c r="AK7" s="116">
        <f t="shared" si="10"/>
        <v>0</v>
      </c>
      <c r="AL7" s="140">
        <f t="shared" si="11"/>
        <v>0</v>
      </c>
      <c r="AM7" s="108">
        <f>IF(AM$1='Simplified Budget'!J$1,VLOOKUP($B7,'Simplified Budget'!$C$3:$O$17,8,),0)</f>
        <v>130750</v>
      </c>
      <c r="AN7" s="120">
        <v>130750</v>
      </c>
      <c r="AO7" s="128">
        <v>130816</v>
      </c>
      <c r="AP7" s="115">
        <f t="shared" si="32"/>
        <v>0</v>
      </c>
      <c r="AQ7" s="116">
        <f t="shared" si="12"/>
        <v>66</v>
      </c>
      <c r="AR7" s="140">
        <f t="shared" si="13"/>
        <v>66</v>
      </c>
      <c r="AS7" s="108">
        <f>IF(AS$1='Simplified Budget'!K$1,VLOOKUP($B7,'Simplified Budget'!$C$3:$O$17,9,),0)</f>
        <v>0</v>
      </c>
      <c r="AT7" s="120">
        <v>0</v>
      </c>
      <c r="AU7" s="128">
        <v>0</v>
      </c>
      <c r="AV7" s="115">
        <f t="shared" si="33"/>
        <v>0</v>
      </c>
      <c r="AW7" s="116">
        <f t="shared" si="14"/>
        <v>0</v>
      </c>
      <c r="AX7" s="140">
        <f t="shared" si="15"/>
        <v>0</v>
      </c>
      <c r="AY7" s="108">
        <f>IF(AY$1='Simplified Budget'!L$1,VLOOKUP($B7,'Simplified Budget'!$C$3:$O$17,10,),0)</f>
        <v>0</v>
      </c>
      <c r="AZ7" s="120">
        <v>0</v>
      </c>
      <c r="BA7" s="128">
        <v>0</v>
      </c>
      <c r="BB7" s="115">
        <f t="shared" si="34"/>
        <v>0</v>
      </c>
      <c r="BC7" s="116">
        <f t="shared" si="16"/>
        <v>0</v>
      </c>
      <c r="BD7" s="140">
        <f t="shared" si="17"/>
        <v>0</v>
      </c>
      <c r="BE7" s="108">
        <f>IF(BE$1='Simplified Budget'!M$1,VLOOKUP($B7,'Simplified Budget'!$C$3:$O$17,11,),0)</f>
        <v>130750</v>
      </c>
      <c r="BF7" s="120">
        <v>130750</v>
      </c>
      <c r="BG7" s="128">
        <v>0</v>
      </c>
      <c r="BH7" s="115">
        <f t="shared" si="35"/>
        <v>0</v>
      </c>
      <c r="BI7" s="116">
        <f t="shared" si="18"/>
        <v>-130750</v>
      </c>
      <c r="BJ7" s="140">
        <f t="shared" si="19"/>
        <v>-130750</v>
      </c>
      <c r="BK7" s="108">
        <f>IF(BK$1='Simplified Budget'!N$1,VLOOKUP($B7,'Simplified Budget'!$C$3:$O$17,12,),0)</f>
        <v>0</v>
      </c>
      <c r="BL7" s="120">
        <v>0</v>
      </c>
      <c r="BM7" s="128">
        <v>0</v>
      </c>
      <c r="BN7" s="115">
        <f t="shared" si="36"/>
        <v>0</v>
      </c>
      <c r="BO7" s="116">
        <f t="shared" si="20"/>
        <v>0</v>
      </c>
      <c r="BP7" s="140">
        <f t="shared" si="21"/>
        <v>0</v>
      </c>
      <c r="BQ7" s="108">
        <f>IF(BQ$1='Simplified Budget'!O$1,VLOOKUP($B7,'Simplified Budget'!$C$3:$O$17,13,),0)</f>
        <v>0</v>
      </c>
      <c r="BR7" s="120">
        <v>0</v>
      </c>
      <c r="BS7" s="128">
        <v>0</v>
      </c>
      <c r="BT7" s="115">
        <f t="shared" si="37"/>
        <v>0</v>
      </c>
      <c r="BU7" s="116">
        <f t="shared" si="22"/>
        <v>0</v>
      </c>
      <c r="BV7" s="140">
        <f t="shared" si="23"/>
        <v>0</v>
      </c>
      <c r="BX7" s="173">
        <f t="shared" si="38"/>
        <v>523000</v>
      </c>
      <c r="BY7" s="174">
        <f t="shared" si="38"/>
        <v>523000</v>
      </c>
      <c r="BZ7" s="175">
        <f t="shared" si="39"/>
        <v>523197.26</v>
      </c>
      <c r="CA7" s="115">
        <f t="shared" si="40"/>
        <v>0</v>
      </c>
      <c r="CB7" s="116">
        <f t="shared" si="24"/>
        <v>197.26000000000931</v>
      </c>
      <c r="CC7" s="140">
        <f t="shared" si="25"/>
        <v>197.26000000000931</v>
      </c>
    </row>
    <row r="8" spans="1:81" x14ac:dyDescent="0.2">
      <c r="A8" s="146" t="s">
        <v>68</v>
      </c>
      <c r="B8" s="200" t="s">
        <v>115</v>
      </c>
      <c r="C8" s="108">
        <f>IF(C$1='Simplified Budget'!D$1,VLOOKUP($B8,'Simplified Budget'!$C$3:$O$17,2,),0)</f>
        <v>73724</v>
      </c>
      <c r="D8" s="120">
        <v>73724</v>
      </c>
      <c r="E8" s="128">
        <v>73724</v>
      </c>
      <c r="F8" s="115">
        <f t="shared" si="26"/>
        <v>0</v>
      </c>
      <c r="G8" s="116">
        <f t="shared" si="0"/>
        <v>0</v>
      </c>
      <c r="H8" s="140">
        <f t="shared" si="1"/>
        <v>0</v>
      </c>
      <c r="I8" s="108">
        <f>IF(I$1='Simplified Budget'!E$1,VLOOKUP($B8,'Simplified Budget'!$C$3:$O$17,3,),0)</f>
        <v>0</v>
      </c>
      <c r="J8" s="120">
        <v>0</v>
      </c>
      <c r="K8" s="128">
        <v>0</v>
      </c>
      <c r="L8" s="115">
        <f t="shared" si="27"/>
        <v>0</v>
      </c>
      <c r="M8" s="116">
        <f t="shared" si="2"/>
        <v>0</v>
      </c>
      <c r="N8" s="140">
        <f t="shared" si="3"/>
        <v>0</v>
      </c>
      <c r="O8" s="108">
        <f>IF(O$1='Simplified Budget'!F$1,VLOOKUP($B8,'Simplified Budget'!$C$3:$O$17,4,),0)</f>
        <v>0</v>
      </c>
      <c r="P8" s="120">
        <v>0</v>
      </c>
      <c r="Q8" s="128">
        <v>0</v>
      </c>
      <c r="R8" s="115">
        <f t="shared" si="28"/>
        <v>0</v>
      </c>
      <c r="S8" s="116">
        <f t="shared" si="4"/>
        <v>0</v>
      </c>
      <c r="T8" s="140">
        <f t="shared" si="5"/>
        <v>0</v>
      </c>
      <c r="U8" s="108">
        <f>IF(U$1='Simplified Budget'!G$1,VLOOKUP($B8,'Simplified Budget'!$C$3:$O$17,5,),0)</f>
        <v>73724</v>
      </c>
      <c r="V8" s="120">
        <v>73724</v>
      </c>
      <c r="W8" s="128">
        <v>73724</v>
      </c>
      <c r="X8" s="115">
        <f t="shared" si="29"/>
        <v>0</v>
      </c>
      <c r="Y8" s="116">
        <f t="shared" si="6"/>
        <v>0</v>
      </c>
      <c r="Z8" s="140">
        <f t="shared" si="7"/>
        <v>0</v>
      </c>
      <c r="AA8" s="108">
        <f>IF(AA$1='Simplified Budget'!H$1,VLOOKUP($B8,'Simplified Budget'!$C$3:$O$17,6,),0)</f>
        <v>0</v>
      </c>
      <c r="AB8" s="120">
        <v>0</v>
      </c>
      <c r="AC8" s="128">
        <v>0</v>
      </c>
      <c r="AD8" s="115">
        <f t="shared" si="30"/>
        <v>0</v>
      </c>
      <c r="AE8" s="116">
        <f t="shared" si="8"/>
        <v>0</v>
      </c>
      <c r="AF8" s="140">
        <f t="shared" si="9"/>
        <v>0</v>
      </c>
      <c r="AG8" s="108">
        <f>IF(AG$1='Simplified Budget'!I$1,VLOOKUP($B8,'Simplified Budget'!$C$3:$O$17,7,),0)</f>
        <v>0</v>
      </c>
      <c r="AH8" s="120">
        <v>0</v>
      </c>
      <c r="AI8" s="128">
        <v>0</v>
      </c>
      <c r="AJ8" s="115">
        <f t="shared" si="31"/>
        <v>0</v>
      </c>
      <c r="AK8" s="116">
        <f t="shared" si="10"/>
        <v>0</v>
      </c>
      <c r="AL8" s="140">
        <f t="shared" si="11"/>
        <v>0</v>
      </c>
      <c r="AM8" s="108">
        <f>IF(AM$1='Simplified Budget'!J$1,VLOOKUP($B8,'Simplified Budget'!$C$3:$O$17,8,),0)</f>
        <v>73724</v>
      </c>
      <c r="AN8" s="120">
        <v>73724</v>
      </c>
      <c r="AO8" s="128">
        <v>73723</v>
      </c>
      <c r="AP8" s="115">
        <f t="shared" si="32"/>
        <v>0</v>
      </c>
      <c r="AQ8" s="116">
        <f t="shared" si="12"/>
        <v>-1</v>
      </c>
      <c r="AR8" s="140">
        <f t="shared" si="13"/>
        <v>-1</v>
      </c>
      <c r="AS8" s="108">
        <f>IF(AS$1='Simplified Budget'!K$1,VLOOKUP($B8,'Simplified Budget'!$C$3:$O$17,9,),0)</f>
        <v>0</v>
      </c>
      <c r="AT8" s="120">
        <v>0</v>
      </c>
      <c r="AU8" s="128">
        <v>0</v>
      </c>
      <c r="AV8" s="115">
        <f t="shared" si="33"/>
        <v>0</v>
      </c>
      <c r="AW8" s="116">
        <f t="shared" si="14"/>
        <v>0</v>
      </c>
      <c r="AX8" s="140">
        <f t="shared" si="15"/>
        <v>0</v>
      </c>
      <c r="AY8" s="108">
        <f>IF(AY$1='Simplified Budget'!L$1,VLOOKUP($B8,'Simplified Budget'!$C$3:$O$17,10,),0)</f>
        <v>0</v>
      </c>
      <c r="AZ8" s="120">
        <v>0</v>
      </c>
      <c r="BA8" s="128">
        <v>0</v>
      </c>
      <c r="BB8" s="115">
        <f t="shared" si="34"/>
        <v>0</v>
      </c>
      <c r="BC8" s="116">
        <f t="shared" si="16"/>
        <v>0</v>
      </c>
      <c r="BD8" s="140">
        <f t="shared" si="17"/>
        <v>0</v>
      </c>
      <c r="BE8" s="108">
        <f>IF(BE$1='Simplified Budget'!M$1,VLOOKUP($B8,'Simplified Budget'!$C$3:$O$17,11,),0)</f>
        <v>73724</v>
      </c>
      <c r="BF8" s="120">
        <v>73724</v>
      </c>
      <c r="BG8" s="128">
        <v>0</v>
      </c>
      <c r="BH8" s="115">
        <f t="shared" si="35"/>
        <v>0</v>
      </c>
      <c r="BI8" s="116">
        <f t="shared" si="18"/>
        <v>-73724</v>
      </c>
      <c r="BJ8" s="140">
        <f t="shared" si="19"/>
        <v>-73724</v>
      </c>
      <c r="BK8" s="108">
        <f>IF(BK$1='Simplified Budget'!N$1,VLOOKUP($B8,'Simplified Budget'!$C$3:$O$17,12,),0)</f>
        <v>0</v>
      </c>
      <c r="BL8" s="120">
        <v>0</v>
      </c>
      <c r="BM8" s="128">
        <v>0</v>
      </c>
      <c r="BN8" s="115">
        <f t="shared" si="36"/>
        <v>0</v>
      </c>
      <c r="BO8" s="116">
        <f t="shared" si="20"/>
        <v>0</v>
      </c>
      <c r="BP8" s="140">
        <f t="shared" si="21"/>
        <v>0</v>
      </c>
      <c r="BQ8" s="108">
        <f>IF(BQ$1='Simplified Budget'!O$1,VLOOKUP($B8,'Simplified Budget'!$C$3:$O$17,13,),0)</f>
        <v>0</v>
      </c>
      <c r="BR8" s="120">
        <v>0</v>
      </c>
      <c r="BS8" s="128">
        <v>0</v>
      </c>
      <c r="BT8" s="115">
        <f t="shared" si="37"/>
        <v>0</v>
      </c>
      <c r="BU8" s="116">
        <f t="shared" si="22"/>
        <v>0</v>
      </c>
      <c r="BV8" s="140">
        <f t="shared" si="23"/>
        <v>0</v>
      </c>
      <c r="BX8" s="173">
        <f t="shared" si="38"/>
        <v>294896</v>
      </c>
      <c r="BY8" s="174">
        <f t="shared" si="38"/>
        <v>294896</v>
      </c>
      <c r="BZ8" s="175">
        <f t="shared" si="39"/>
        <v>294895</v>
      </c>
      <c r="CA8" s="115">
        <f t="shared" si="40"/>
        <v>0</v>
      </c>
      <c r="CB8" s="116">
        <f t="shared" si="24"/>
        <v>-1</v>
      </c>
      <c r="CC8" s="140">
        <f t="shared" si="25"/>
        <v>-1</v>
      </c>
    </row>
    <row r="9" spans="1:81" x14ac:dyDescent="0.2">
      <c r="A9" s="147"/>
      <c r="B9" s="200" t="s">
        <v>125</v>
      </c>
      <c r="C9" s="108">
        <f>IF(C$1='Simplified Budget'!D$1,VLOOKUP($B9,'Simplified Budget'!$C$3:$O$17,2,),0)</f>
        <v>0</v>
      </c>
      <c r="D9" s="120">
        <v>0</v>
      </c>
      <c r="E9" s="128">
        <v>0</v>
      </c>
      <c r="F9" s="115">
        <f t="shared" si="26"/>
        <v>0</v>
      </c>
      <c r="G9" s="116">
        <f t="shared" si="0"/>
        <v>0</v>
      </c>
      <c r="H9" s="140">
        <f t="shared" si="1"/>
        <v>0</v>
      </c>
      <c r="I9" s="108">
        <f>IF(I$1='Simplified Budget'!E$1,VLOOKUP($B9,'Simplified Budget'!$C$3:$O$17,3,),0)</f>
        <v>0</v>
      </c>
      <c r="J9" s="120">
        <v>0</v>
      </c>
      <c r="K9" s="128">
        <v>0</v>
      </c>
      <c r="L9" s="115">
        <f t="shared" si="27"/>
        <v>0</v>
      </c>
      <c r="M9" s="116">
        <f t="shared" si="2"/>
        <v>0</v>
      </c>
      <c r="N9" s="140">
        <f t="shared" si="3"/>
        <v>0</v>
      </c>
      <c r="O9" s="108">
        <f>IF(O$1='Simplified Budget'!F$1,VLOOKUP($B9,'Simplified Budget'!$C$3:$O$17,4,),0)</f>
        <v>0</v>
      </c>
      <c r="P9" s="120">
        <v>0</v>
      </c>
      <c r="Q9" s="128">
        <v>0</v>
      </c>
      <c r="R9" s="115">
        <f t="shared" si="28"/>
        <v>0</v>
      </c>
      <c r="S9" s="116">
        <f t="shared" si="4"/>
        <v>0</v>
      </c>
      <c r="T9" s="140">
        <f t="shared" si="5"/>
        <v>0</v>
      </c>
      <c r="U9" s="108">
        <f>IF(U$1='Simplified Budget'!G$1,VLOOKUP($B9,'Simplified Budget'!$C$3:$O$17,5,),0)</f>
        <v>55000</v>
      </c>
      <c r="V9" s="120">
        <f>55000-55000</f>
        <v>0</v>
      </c>
      <c r="W9" s="128">
        <v>0</v>
      </c>
      <c r="X9" s="115">
        <f t="shared" si="29"/>
        <v>-55000</v>
      </c>
      <c r="Y9" s="116">
        <f t="shared" si="6"/>
        <v>-55000</v>
      </c>
      <c r="Z9" s="140">
        <f t="shared" si="7"/>
        <v>0</v>
      </c>
      <c r="AA9" s="108">
        <f>IF(AA$1='Simplified Budget'!H$1,VLOOKUP($B9,'Simplified Budget'!$C$3:$O$17,6,),0)</f>
        <v>0</v>
      </c>
      <c r="AB9" s="120">
        <v>0</v>
      </c>
      <c r="AC9" s="128">
        <v>0</v>
      </c>
      <c r="AD9" s="115">
        <f t="shared" si="30"/>
        <v>0</v>
      </c>
      <c r="AE9" s="116">
        <f t="shared" si="8"/>
        <v>0</v>
      </c>
      <c r="AF9" s="140">
        <f t="shared" si="9"/>
        <v>0</v>
      </c>
      <c r="AG9" s="108">
        <f>IF(AG$1='Simplified Budget'!I$1,VLOOKUP($B9,'Simplified Budget'!$C$3:$O$17,7,),0)</f>
        <v>0</v>
      </c>
      <c r="AH9" s="120">
        <v>0</v>
      </c>
      <c r="AI9" s="128">
        <v>0</v>
      </c>
      <c r="AJ9" s="115">
        <f t="shared" si="31"/>
        <v>0</v>
      </c>
      <c r="AK9" s="116">
        <f t="shared" si="10"/>
        <v>0</v>
      </c>
      <c r="AL9" s="140">
        <f t="shared" si="11"/>
        <v>0</v>
      </c>
      <c r="AM9" s="108">
        <f>IF(AM$1='Simplified Budget'!J$1,VLOOKUP($B9,'Simplified Budget'!$C$3:$O$17,8,),0)</f>
        <v>0</v>
      </c>
      <c r="AN9" s="120">
        <v>0</v>
      </c>
      <c r="AO9" s="128">
        <v>0</v>
      </c>
      <c r="AP9" s="115">
        <f t="shared" si="32"/>
        <v>0</v>
      </c>
      <c r="AQ9" s="116">
        <f t="shared" si="12"/>
        <v>0</v>
      </c>
      <c r="AR9" s="140">
        <f t="shared" si="13"/>
        <v>0</v>
      </c>
      <c r="AS9" s="108">
        <f>IF(AS$1='Simplified Budget'!K$1,VLOOKUP($B9,'Simplified Budget'!$C$3:$O$17,9,),0)</f>
        <v>0</v>
      </c>
      <c r="AT9" s="120">
        <v>0</v>
      </c>
      <c r="AU9" s="128">
        <v>0</v>
      </c>
      <c r="AV9" s="115">
        <f t="shared" si="33"/>
        <v>0</v>
      </c>
      <c r="AW9" s="116">
        <f t="shared" si="14"/>
        <v>0</v>
      </c>
      <c r="AX9" s="140">
        <f t="shared" si="15"/>
        <v>0</v>
      </c>
      <c r="AY9" s="108">
        <f>IF(AY$1='Simplified Budget'!L$1,VLOOKUP($B9,'Simplified Budget'!$C$3:$O$17,10,),0)</f>
        <v>0</v>
      </c>
      <c r="AZ9" s="120">
        <v>0</v>
      </c>
      <c r="BA9" s="128">
        <v>0</v>
      </c>
      <c r="BB9" s="115">
        <f t="shared" si="34"/>
        <v>0</v>
      </c>
      <c r="BC9" s="116">
        <f t="shared" si="16"/>
        <v>0</v>
      </c>
      <c r="BD9" s="140">
        <f t="shared" si="17"/>
        <v>0</v>
      </c>
      <c r="BE9" s="108">
        <f>IF(BE$1='Simplified Budget'!M$1,VLOOKUP($B9,'Simplified Budget'!$C$3:$O$17,11,),0)</f>
        <v>0</v>
      </c>
      <c r="BF9" s="120">
        <v>0</v>
      </c>
      <c r="BG9" s="128">
        <v>0</v>
      </c>
      <c r="BH9" s="115">
        <f t="shared" si="35"/>
        <v>0</v>
      </c>
      <c r="BI9" s="116">
        <f t="shared" si="18"/>
        <v>0</v>
      </c>
      <c r="BJ9" s="140">
        <f t="shared" si="19"/>
        <v>0</v>
      </c>
      <c r="BK9" s="108">
        <f>IF(BK$1='Simplified Budget'!N$1,VLOOKUP($B9,'Simplified Budget'!$C$3:$O$17,12,),0)</f>
        <v>0</v>
      </c>
      <c r="BL9" s="120">
        <v>0</v>
      </c>
      <c r="BM9" s="128">
        <v>0</v>
      </c>
      <c r="BN9" s="115">
        <f t="shared" si="36"/>
        <v>0</v>
      </c>
      <c r="BO9" s="116">
        <f t="shared" si="20"/>
        <v>0</v>
      </c>
      <c r="BP9" s="140">
        <f t="shared" si="21"/>
        <v>0</v>
      </c>
      <c r="BQ9" s="108">
        <f>IF(BQ$1='Simplified Budget'!O$1,VLOOKUP($B9,'Simplified Budget'!$C$3:$O$17,13,),0)</f>
        <v>0</v>
      </c>
      <c r="BR9" s="120">
        <v>0</v>
      </c>
      <c r="BS9" s="128">
        <v>0</v>
      </c>
      <c r="BT9" s="115">
        <f t="shared" si="37"/>
        <v>0</v>
      </c>
      <c r="BU9" s="116">
        <f t="shared" si="22"/>
        <v>0</v>
      </c>
      <c r="BV9" s="140">
        <f t="shared" si="23"/>
        <v>0</v>
      </c>
      <c r="BX9" s="173">
        <f t="shared" si="38"/>
        <v>55000</v>
      </c>
      <c r="BY9" s="174">
        <f t="shared" si="38"/>
        <v>0</v>
      </c>
      <c r="BZ9" s="175">
        <f t="shared" si="39"/>
        <v>0</v>
      </c>
      <c r="CA9" s="115">
        <f t="shared" si="40"/>
        <v>-55000</v>
      </c>
      <c r="CB9" s="116">
        <f t="shared" si="24"/>
        <v>-55000</v>
      </c>
      <c r="CC9" s="140">
        <f t="shared" si="25"/>
        <v>0</v>
      </c>
    </row>
    <row r="10" spans="1:81" x14ac:dyDescent="0.2">
      <c r="A10" s="146" t="s">
        <v>68</v>
      </c>
      <c r="B10" s="201" t="s">
        <v>46</v>
      </c>
      <c r="C10" s="108">
        <f>IF(C$1='Simplified Budget'!D$1,VLOOKUP($B10,'Simplified Budget'!$C$3:$O$17,2,),0)</f>
        <v>13250</v>
      </c>
      <c r="D10" s="120">
        <v>13250</v>
      </c>
      <c r="E10" s="128">
        <v>10496.46</v>
      </c>
      <c r="F10" s="115">
        <f t="shared" si="26"/>
        <v>0</v>
      </c>
      <c r="G10" s="116">
        <f t="shared" si="0"/>
        <v>-2753.5400000000009</v>
      </c>
      <c r="H10" s="140">
        <f t="shared" si="1"/>
        <v>-2753.5400000000009</v>
      </c>
      <c r="I10" s="108">
        <f>IF(I$1='Simplified Budget'!E$1,VLOOKUP($B10,'Simplified Budget'!$C$3:$O$17,3,),0)</f>
        <v>10750</v>
      </c>
      <c r="J10" s="120">
        <v>10750</v>
      </c>
      <c r="K10" s="128">
        <v>13193.41</v>
      </c>
      <c r="L10" s="115">
        <f t="shared" si="27"/>
        <v>0</v>
      </c>
      <c r="M10" s="116">
        <f t="shared" si="2"/>
        <v>2443.41</v>
      </c>
      <c r="N10" s="140">
        <f t="shared" si="3"/>
        <v>2443.41</v>
      </c>
      <c r="O10" s="108">
        <f>IF(O$1='Simplified Budget'!F$1,VLOOKUP($B10,'Simplified Budget'!$C$3:$O$17,4,),0)</f>
        <v>16300</v>
      </c>
      <c r="P10" s="120">
        <v>16300</v>
      </c>
      <c r="Q10" s="128">
        <v>12265.85</v>
      </c>
      <c r="R10" s="115">
        <f t="shared" si="28"/>
        <v>0</v>
      </c>
      <c r="S10" s="116">
        <f t="shared" si="4"/>
        <v>-4034.1499999999996</v>
      </c>
      <c r="T10" s="140">
        <f t="shared" si="5"/>
        <v>-4034.1499999999996</v>
      </c>
      <c r="U10" s="108">
        <f>IF(U$1='Simplified Budget'!G$1,VLOOKUP($B10,'Simplified Budget'!$C$3:$O$17,5,),0)</f>
        <v>10750</v>
      </c>
      <c r="V10" s="120">
        <v>10750</v>
      </c>
      <c r="W10" s="128">
        <v>12451.24</v>
      </c>
      <c r="X10" s="115">
        <f t="shared" si="29"/>
        <v>0</v>
      </c>
      <c r="Y10" s="116">
        <f t="shared" si="6"/>
        <v>1701.2399999999998</v>
      </c>
      <c r="Z10" s="140">
        <f t="shared" si="7"/>
        <v>1701.2399999999998</v>
      </c>
      <c r="AA10" s="108">
        <f>IF(AA$1='Simplified Budget'!H$1,VLOOKUP($B10,'Simplified Budget'!$C$3:$O$17,6,),0)</f>
        <v>10750</v>
      </c>
      <c r="AB10" s="120">
        <v>10750</v>
      </c>
      <c r="AC10" s="128">
        <v>13725</v>
      </c>
      <c r="AD10" s="115">
        <f t="shared" si="30"/>
        <v>0</v>
      </c>
      <c r="AE10" s="116">
        <f t="shared" si="8"/>
        <v>2975</v>
      </c>
      <c r="AF10" s="140">
        <f t="shared" si="9"/>
        <v>2975</v>
      </c>
      <c r="AG10" s="108">
        <f>IF(AG$1='Simplified Budget'!I$1,VLOOKUP($B10,'Simplified Budget'!$C$3:$O$17,7,),0)</f>
        <v>13300</v>
      </c>
      <c r="AH10" s="120">
        <v>13300</v>
      </c>
      <c r="AI10" s="128">
        <v>11761</v>
      </c>
      <c r="AJ10" s="115">
        <f t="shared" si="31"/>
        <v>0</v>
      </c>
      <c r="AK10" s="116">
        <f t="shared" si="10"/>
        <v>-1539</v>
      </c>
      <c r="AL10" s="140">
        <f t="shared" si="11"/>
        <v>-1539</v>
      </c>
      <c r="AM10" s="108">
        <f>IF(AM$1='Simplified Budget'!J$1,VLOOKUP($B10,'Simplified Budget'!$C$3:$O$17,8,),0)</f>
        <v>10750</v>
      </c>
      <c r="AN10" s="120">
        <v>10750</v>
      </c>
      <c r="AO10" s="128">
        <v>13590</v>
      </c>
      <c r="AP10" s="115">
        <f t="shared" si="32"/>
        <v>0</v>
      </c>
      <c r="AQ10" s="116">
        <f t="shared" si="12"/>
        <v>2840</v>
      </c>
      <c r="AR10" s="140">
        <f t="shared" si="13"/>
        <v>2840</v>
      </c>
      <c r="AS10" s="108">
        <f>IF(AS$1='Simplified Budget'!K$1,VLOOKUP($B10,'Simplified Budget'!$C$3:$O$17,9,),0)</f>
        <v>10750</v>
      </c>
      <c r="AT10" s="120">
        <v>10750</v>
      </c>
      <c r="AU10" s="128">
        <v>0</v>
      </c>
      <c r="AV10" s="115">
        <f t="shared" si="33"/>
        <v>0</v>
      </c>
      <c r="AW10" s="116">
        <f t="shared" si="14"/>
        <v>-10750</v>
      </c>
      <c r="AX10" s="140">
        <f t="shared" si="15"/>
        <v>-10750</v>
      </c>
      <c r="AY10" s="108">
        <f>IF(AY$1='Simplified Budget'!L$1,VLOOKUP($B10,'Simplified Budget'!$C$3:$O$17,10,),0)</f>
        <v>15800</v>
      </c>
      <c r="AZ10" s="120">
        <v>15800</v>
      </c>
      <c r="BA10" s="128">
        <v>0</v>
      </c>
      <c r="BB10" s="115">
        <f t="shared" si="34"/>
        <v>0</v>
      </c>
      <c r="BC10" s="116">
        <f t="shared" si="16"/>
        <v>-15800</v>
      </c>
      <c r="BD10" s="140">
        <f t="shared" si="17"/>
        <v>-15800</v>
      </c>
      <c r="BE10" s="108">
        <f>IF(BE$1='Simplified Budget'!M$1,VLOOKUP($B10,'Simplified Budget'!$C$3:$O$17,11,),0)</f>
        <v>13250</v>
      </c>
      <c r="BF10" s="120">
        <v>13250</v>
      </c>
      <c r="BG10" s="128">
        <v>0</v>
      </c>
      <c r="BH10" s="115">
        <f t="shared" si="35"/>
        <v>0</v>
      </c>
      <c r="BI10" s="116">
        <f t="shared" si="18"/>
        <v>-13250</v>
      </c>
      <c r="BJ10" s="140">
        <f t="shared" si="19"/>
        <v>-13250</v>
      </c>
      <c r="BK10" s="108">
        <f>IF(BK$1='Simplified Budget'!N$1,VLOOKUP($B10,'Simplified Budget'!$C$3:$O$17,12,),0)</f>
        <v>10750</v>
      </c>
      <c r="BL10" s="120">
        <v>10750</v>
      </c>
      <c r="BM10" s="128">
        <v>0</v>
      </c>
      <c r="BN10" s="115">
        <f t="shared" si="36"/>
        <v>0</v>
      </c>
      <c r="BO10" s="116">
        <f t="shared" si="20"/>
        <v>-10750</v>
      </c>
      <c r="BP10" s="140">
        <f t="shared" si="21"/>
        <v>-10750</v>
      </c>
      <c r="BQ10" s="108">
        <f>IF(BQ$1='Simplified Budget'!O$1,VLOOKUP($B10,'Simplified Budget'!$C$3:$O$17,13,),0)</f>
        <v>10750</v>
      </c>
      <c r="BR10" s="120">
        <v>10750</v>
      </c>
      <c r="BS10" s="128">
        <v>0</v>
      </c>
      <c r="BT10" s="115">
        <f t="shared" si="37"/>
        <v>0</v>
      </c>
      <c r="BU10" s="116">
        <f t="shared" si="22"/>
        <v>-10750</v>
      </c>
      <c r="BV10" s="140">
        <f t="shared" si="23"/>
        <v>-10750</v>
      </c>
      <c r="BX10" s="173">
        <f t="shared" si="38"/>
        <v>147150</v>
      </c>
      <c r="BY10" s="174">
        <f t="shared" si="38"/>
        <v>147150</v>
      </c>
      <c r="BZ10" s="175">
        <f t="shared" si="39"/>
        <v>148782.96</v>
      </c>
      <c r="CA10" s="115">
        <f t="shared" si="40"/>
        <v>0</v>
      </c>
      <c r="CB10" s="116">
        <f t="shared" si="24"/>
        <v>1632.9599999999919</v>
      </c>
      <c r="CC10" s="140">
        <f t="shared" si="25"/>
        <v>1632.9599999999919</v>
      </c>
    </row>
    <row r="11" spans="1:81" ht="13.5" thickBot="1" x14ac:dyDescent="0.25">
      <c r="A11" s="147"/>
      <c r="B11" s="201" t="s">
        <v>38</v>
      </c>
      <c r="C11" s="108">
        <f>IF(C$1='Simplified Budget'!D$1,VLOOKUP($B11,'Simplified Budget'!$C$3:$O$17,2,),0)</f>
        <v>26700</v>
      </c>
      <c r="D11" s="120">
        <v>26700</v>
      </c>
      <c r="E11" s="128">
        <v>62986.25</v>
      </c>
      <c r="F11" s="115">
        <f t="shared" si="26"/>
        <v>0</v>
      </c>
      <c r="G11" s="116">
        <f t="shared" si="0"/>
        <v>36286.25</v>
      </c>
      <c r="H11" s="140">
        <f t="shared" si="1"/>
        <v>36286.25</v>
      </c>
      <c r="I11" s="108">
        <f>IF(I$1='Simplified Budget'!E$1,VLOOKUP($B11,'Simplified Budget'!$C$3:$O$17,3,),0)</f>
        <v>100200</v>
      </c>
      <c r="J11" s="120">
        <v>100200</v>
      </c>
      <c r="K11" s="128">
        <v>33467.75</v>
      </c>
      <c r="L11" s="115">
        <f t="shared" si="27"/>
        <v>0</v>
      </c>
      <c r="M11" s="116">
        <f t="shared" si="2"/>
        <v>-66732.25</v>
      </c>
      <c r="N11" s="140">
        <f t="shared" si="3"/>
        <v>-66732.25</v>
      </c>
      <c r="O11" s="108">
        <f>IF(O$1='Simplified Budget'!F$1,VLOOKUP($B11,'Simplified Budget'!$C$3:$O$17,4,),0)</f>
        <v>200</v>
      </c>
      <c r="P11" s="120">
        <v>200</v>
      </c>
      <c r="Q11" s="128">
        <v>5965.25</v>
      </c>
      <c r="R11" s="115">
        <f t="shared" si="28"/>
        <v>0</v>
      </c>
      <c r="S11" s="116">
        <f t="shared" si="4"/>
        <v>5765.25</v>
      </c>
      <c r="T11" s="140">
        <f t="shared" si="5"/>
        <v>5765.25</v>
      </c>
      <c r="U11" s="108">
        <f>IF(U$1='Simplified Budget'!G$1,VLOOKUP($B11,'Simplified Budget'!$C$3:$O$17,5,),0)</f>
        <v>7700</v>
      </c>
      <c r="V11" s="120">
        <v>7700</v>
      </c>
      <c r="W11" s="128">
        <v>6896.88</v>
      </c>
      <c r="X11" s="115">
        <f t="shared" si="29"/>
        <v>0</v>
      </c>
      <c r="Y11" s="116">
        <f t="shared" si="6"/>
        <v>-803.11999999999989</v>
      </c>
      <c r="Z11" s="140">
        <f t="shared" si="7"/>
        <v>-803.11999999999989</v>
      </c>
      <c r="AA11" s="108">
        <f>IF(AA$1='Simplified Budget'!H$1,VLOOKUP($B11,'Simplified Budget'!$C$3:$O$17,6,),0)</f>
        <v>5200</v>
      </c>
      <c r="AB11" s="120">
        <f>5200+5000</f>
        <v>10200</v>
      </c>
      <c r="AC11" s="128">
        <v>16442</v>
      </c>
      <c r="AD11" s="115">
        <f t="shared" si="30"/>
        <v>5000</v>
      </c>
      <c r="AE11" s="116">
        <f t="shared" si="8"/>
        <v>11242</v>
      </c>
      <c r="AF11" s="140">
        <f t="shared" si="9"/>
        <v>6242</v>
      </c>
      <c r="AG11" s="108">
        <f>IF(AG$1='Simplified Budget'!I$1,VLOOKUP($B11,'Simplified Budget'!$C$3:$O$17,7,),0)</f>
        <v>6200</v>
      </c>
      <c r="AH11" s="120">
        <f>6200-5000+300</f>
        <v>1500</v>
      </c>
      <c r="AI11" s="128">
        <v>70958</v>
      </c>
      <c r="AJ11" s="115">
        <f t="shared" si="31"/>
        <v>-4700</v>
      </c>
      <c r="AK11" s="116">
        <f t="shared" si="10"/>
        <v>64758</v>
      </c>
      <c r="AL11" s="140">
        <f t="shared" si="11"/>
        <v>69458</v>
      </c>
      <c r="AM11" s="108">
        <f>IF(AM$1='Simplified Budget'!J$1,VLOOKUP($B11,'Simplified Budget'!$C$3:$O$17,8,),0)</f>
        <v>20200</v>
      </c>
      <c r="AN11" s="120">
        <f>20200+4000</f>
        <v>24200</v>
      </c>
      <c r="AO11" s="128">
        <v>38056</v>
      </c>
      <c r="AP11" s="115">
        <f t="shared" si="32"/>
        <v>4000</v>
      </c>
      <c r="AQ11" s="116">
        <f t="shared" si="12"/>
        <v>17856</v>
      </c>
      <c r="AR11" s="140">
        <f t="shared" si="13"/>
        <v>13856</v>
      </c>
      <c r="AS11" s="108">
        <f>IF(AS$1='Simplified Budget'!K$1,VLOOKUP($B11,'Simplified Budget'!$C$3:$O$17,9,),0)</f>
        <v>45200</v>
      </c>
      <c r="AT11" s="120">
        <v>45200</v>
      </c>
      <c r="AU11" s="128">
        <v>0</v>
      </c>
      <c r="AV11" s="115">
        <f t="shared" si="33"/>
        <v>0</v>
      </c>
      <c r="AW11" s="116">
        <f t="shared" si="14"/>
        <v>-45200</v>
      </c>
      <c r="AX11" s="140">
        <f t="shared" si="15"/>
        <v>-45200</v>
      </c>
      <c r="AY11" s="108">
        <f>IF(AY$1='Simplified Budget'!L$1,VLOOKUP($B11,'Simplified Budget'!$C$3:$O$17,10,),0)</f>
        <v>700</v>
      </c>
      <c r="AZ11" s="120">
        <v>700</v>
      </c>
      <c r="BA11" s="128">
        <v>0</v>
      </c>
      <c r="BB11" s="115">
        <f t="shared" si="34"/>
        <v>0</v>
      </c>
      <c r="BC11" s="116">
        <f t="shared" si="16"/>
        <v>-700</v>
      </c>
      <c r="BD11" s="140">
        <f t="shared" si="17"/>
        <v>-700</v>
      </c>
      <c r="BE11" s="108">
        <f>IF(BE$1='Simplified Budget'!M$1,VLOOKUP($B11,'Simplified Budget'!$C$3:$O$17,11,),0)</f>
        <v>200</v>
      </c>
      <c r="BF11" s="120">
        <v>200</v>
      </c>
      <c r="BG11" s="128">
        <v>0</v>
      </c>
      <c r="BH11" s="115">
        <f t="shared" si="35"/>
        <v>0</v>
      </c>
      <c r="BI11" s="116">
        <f t="shared" si="18"/>
        <v>-200</v>
      </c>
      <c r="BJ11" s="140">
        <f t="shared" si="19"/>
        <v>-200</v>
      </c>
      <c r="BK11" s="108">
        <f>IF(BK$1='Simplified Budget'!N$1,VLOOKUP($B11,'Simplified Budget'!$C$3:$O$17,12,),0)</f>
        <v>200</v>
      </c>
      <c r="BL11" s="120">
        <v>200</v>
      </c>
      <c r="BM11" s="128">
        <v>0</v>
      </c>
      <c r="BN11" s="115">
        <f t="shared" si="36"/>
        <v>0</v>
      </c>
      <c r="BO11" s="116">
        <f t="shared" si="20"/>
        <v>-200</v>
      </c>
      <c r="BP11" s="140">
        <f t="shared" si="21"/>
        <v>-200</v>
      </c>
      <c r="BQ11" s="108">
        <f>IF(BQ$1='Simplified Budget'!O$1,VLOOKUP($B11,'Simplified Budget'!$C$3:$O$17,13,),0)</f>
        <v>1200</v>
      </c>
      <c r="BR11" s="120">
        <v>1200</v>
      </c>
      <c r="BS11" s="128">
        <v>0</v>
      </c>
      <c r="BT11" s="115">
        <f t="shared" si="37"/>
        <v>0</v>
      </c>
      <c r="BU11" s="116">
        <f t="shared" si="22"/>
        <v>-1200</v>
      </c>
      <c r="BV11" s="140">
        <f t="shared" si="23"/>
        <v>-1200</v>
      </c>
      <c r="BX11" s="173">
        <f t="shared" si="38"/>
        <v>213900</v>
      </c>
      <c r="BY11" s="174">
        <f t="shared" si="38"/>
        <v>218200</v>
      </c>
      <c r="BZ11" s="175">
        <f t="shared" si="39"/>
        <v>282272.13</v>
      </c>
      <c r="CA11" s="115">
        <f t="shared" si="40"/>
        <v>4300</v>
      </c>
      <c r="CB11" s="116">
        <f t="shared" si="24"/>
        <v>68372.13</v>
      </c>
      <c r="CC11" s="140">
        <f t="shared" si="25"/>
        <v>64072.130000000005</v>
      </c>
    </row>
    <row r="12" spans="1:81" x14ac:dyDescent="0.2">
      <c r="A12" s="148" t="s">
        <v>68</v>
      </c>
      <c r="B12" s="202" t="s">
        <v>116</v>
      </c>
      <c r="C12" s="110">
        <f>SUM(C4:C11)</f>
        <v>441746.92</v>
      </c>
      <c r="D12" s="121">
        <f t="shared" ref="D12:H12" si="41">SUM(D4:D11)</f>
        <v>441746.92</v>
      </c>
      <c r="E12" s="130">
        <v>466966.44</v>
      </c>
      <c r="F12" s="117">
        <f t="shared" si="41"/>
        <v>0</v>
      </c>
      <c r="G12" s="118">
        <f t="shared" si="41"/>
        <v>25219.51999999999</v>
      </c>
      <c r="H12" s="141">
        <f t="shared" si="41"/>
        <v>25219.51999999999</v>
      </c>
      <c r="I12" s="110">
        <f>SUM(I4:I11)</f>
        <v>668272.92000000004</v>
      </c>
      <c r="J12" s="121">
        <f t="shared" ref="J12:K12" si="42">SUM(J4:J11)</f>
        <v>668272.92000000004</v>
      </c>
      <c r="K12" s="129">
        <f t="shared" si="42"/>
        <v>581913.45000000007</v>
      </c>
      <c r="L12" s="117">
        <f t="shared" ref="L12" si="43">SUM(L4:L11)</f>
        <v>0</v>
      </c>
      <c r="M12" s="118">
        <f t="shared" ref="M12" si="44">SUM(M4:M11)</f>
        <v>-86359.469999999987</v>
      </c>
      <c r="N12" s="141">
        <f t="shared" ref="N12" si="45">SUM(N4:N11)</f>
        <v>-86359.469999999987</v>
      </c>
      <c r="O12" s="110">
        <f>SUM(O4:O11)</f>
        <v>242822.91999999998</v>
      </c>
      <c r="P12" s="121">
        <f t="shared" ref="P12" si="46">SUM(P4:P11)</f>
        <v>238672.91999999998</v>
      </c>
      <c r="Q12" s="129">
        <f t="shared" ref="Q12" si="47">SUM(Q4:Q11)</f>
        <v>213950.58</v>
      </c>
      <c r="R12" s="117">
        <f t="shared" ref="R12" si="48">SUM(R4:R11)</f>
        <v>-4150</v>
      </c>
      <c r="S12" s="118">
        <f t="shared" ref="S12" si="49">SUM(S4:S11)</f>
        <v>-28872.340000000011</v>
      </c>
      <c r="T12" s="141">
        <f t="shared" ref="T12" si="50">SUM(T4:T11)</f>
        <v>-24722.340000000011</v>
      </c>
      <c r="U12" s="110">
        <f>SUM(U4:U11)</f>
        <v>504746.92</v>
      </c>
      <c r="V12" s="121">
        <f t="shared" ref="V12" si="51">SUM(V4:V11)</f>
        <v>459746.92</v>
      </c>
      <c r="W12" s="129">
        <f t="shared" ref="W12" si="52">SUM(W4:W11)</f>
        <v>783177.16</v>
      </c>
      <c r="X12" s="117">
        <f t="shared" ref="X12" si="53">SUM(X4:X11)</f>
        <v>-45000</v>
      </c>
      <c r="Y12" s="118">
        <f t="shared" ref="Y12" si="54">SUM(Y4:Y11)</f>
        <v>278430.24000000005</v>
      </c>
      <c r="Z12" s="141">
        <f t="shared" ref="Z12" si="55">SUM(Z4:Z11)</f>
        <v>323430.24000000005</v>
      </c>
      <c r="AA12" s="110">
        <f>SUM(AA4:AA11)</f>
        <v>213972.91999999998</v>
      </c>
      <c r="AB12" s="121">
        <f t="shared" ref="AB12" si="56">SUM(AB4:AB11)</f>
        <v>196557.91999999998</v>
      </c>
      <c r="AC12" s="129">
        <f t="shared" ref="AC12" si="57">SUM(AC4:AC11)</f>
        <v>205949</v>
      </c>
      <c r="AD12" s="117">
        <f t="shared" ref="AD12" si="58">SUM(AD4:AD11)</f>
        <v>-17415</v>
      </c>
      <c r="AE12" s="118">
        <f t="shared" ref="AE12" si="59">SUM(AE4:AE11)</f>
        <v>-8023.9199999999983</v>
      </c>
      <c r="AF12" s="141">
        <f t="shared" ref="AF12" si="60">SUM(AF4:AF11)</f>
        <v>9391.0800000000017</v>
      </c>
      <c r="AG12" s="110">
        <f>SUM(AG4:AG11)</f>
        <v>326322.92</v>
      </c>
      <c r="AH12" s="121">
        <f t="shared" ref="AH12" si="61">SUM(AH4:AH11)</f>
        <v>264221.68</v>
      </c>
      <c r="AI12" s="129">
        <f t="shared" ref="AI12" si="62">SUM(AI4:AI11)</f>
        <v>284774</v>
      </c>
      <c r="AJ12" s="117">
        <f t="shared" ref="AJ12" si="63">SUM(AJ4:AJ11)</f>
        <v>-62101.24000000002</v>
      </c>
      <c r="AK12" s="118">
        <f t="shared" ref="AK12" si="64">SUM(AK4:AK11)</f>
        <v>-41548.92</v>
      </c>
      <c r="AL12" s="141">
        <f t="shared" ref="AL12" si="65">SUM(AL4:AL11)</f>
        <v>20552.320000000022</v>
      </c>
      <c r="AM12" s="110">
        <f>SUM(AM4:AM11)</f>
        <v>494246.92</v>
      </c>
      <c r="AN12" s="121">
        <f t="shared" ref="AN12" si="66">SUM(AN4:AN11)</f>
        <v>611150.87999999989</v>
      </c>
      <c r="AO12" s="129">
        <f t="shared" ref="AO12" si="67">SUM(AO4:AO11)</f>
        <v>615302</v>
      </c>
      <c r="AP12" s="117">
        <f t="shared" ref="AP12" si="68">SUM(AP4:AP11)</f>
        <v>116903.95999999999</v>
      </c>
      <c r="AQ12" s="118">
        <f t="shared" ref="AQ12" si="69">SUM(AQ4:AQ11)</f>
        <v>121055.08</v>
      </c>
      <c r="AR12" s="141">
        <f t="shared" ref="AR12" si="70">SUM(AR4:AR11)</f>
        <v>4151.1200000000099</v>
      </c>
      <c r="AS12" s="110">
        <f>SUM(AS4:AS11)</f>
        <v>421572.92</v>
      </c>
      <c r="AT12" s="121">
        <f t="shared" ref="AT12" si="71">SUM(AT4:AT11)</f>
        <v>1424826.88</v>
      </c>
      <c r="AU12" s="129">
        <f t="shared" ref="AU12" si="72">SUM(AU4:AU11)</f>
        <v>0</v>
      </c>
      <c r="AV12" s="117">
        <f t="shared" ref="AV12" si="73">SUM(AV4:AV11)</f>
        <v>1003253.96</v>
      </c>
      <c r="AW12" s="118">
        <f t="shared" ref="AW12" si="74">SUM(AW4:AW11)</f>
        <v>-421572.92</v>
      </c>
      <c r="AX12" s="141">
        <f t="shared" ref="AX12" si="75">SUM(AX4:AX11)</f>
        <v>-1424826.88</v>
      </c>
      <c r="AY12" s="110">
        <f>SUM(AY4:AY11)</f>
        <v>315322.92</v>
      </c>
      <c r="AZ12" s="121">
        <f t="shared" ref="AZ12" si="76">SUM(AZ4:AZ11)</f>
        <v>290576.88</v>
      </c>
      <c r="BA12" s="129">
        <f t="shared" ref="BA12" si="77">SUM(BA4:BA11)</f>
        <v>0</v>
      </c>
      <c r="BB12" s="117">
        <f t="shared" ref="BB12" si="78">SUM(BB4:BB11)</f>
        <v>-24746.040000000008</v>
      </c>
      <c r="BC12" s="118">
        <f t="shared" ref="BC12" si="79">SUM(BC4:BC11)</f>
        <v>-315322.92</v>
      </c>
      <c r="BD12" s="141">
        <f t="shared" ref="BD12" si="80">SUM(BD4:BD11)</f>
        <v>-290576.88</v>
      </c>
      <c r="BE12" s="110">
        <f>SUM(BE4:BE11)</f>
        <v>477746.92</v>
      </c>
      <c r="BF12" s="121">
        <f t="shared" ref="BF12" si="81">SUM(BF4:BF11)</f>
        <v>528000.87999999989</v>
      </c>
      <c r="BG12" s="129">
        <f t="shared" ref="BG12" si="82">SUM(BG4:BG11)</f>
        <v>0</v>
      </c>
      <c r="BH12" s="117">
        <f t="shared" ref="BH12" si="83">SUM(BH4:BH11)</f>
        <v>50253.959999999992</v>
      </c>
      <c r="BI12" s="118">
        <f t="shared" ref="BI12" si="84">SUM(BI4:BI11)</f>
        <v>-477746.92</v>
      </c>
      <c r="BJ12" s="141">
        <f t="shared" ref="BJ12" si="85">SUM(BJ4:BJ11)</f>
        <v>-528000.87999999989</v>
      </c>
      <c r="BK12" s="110">
        <f>SUM(BK4:BK11)</f>
        <v>193772.91999999998</v>
      </c>
      <c r="BL12" s="121">
        <f t="shared" ref="BL12" si="86">SUM(BL4:BL11)</f>
        <v>194026.88</v>
      </c>
      <c r="BM12" s="129">
        <f t="shared" ref="BM12" si="87">SUM(BM4:BM11)</f>
        <v>0</v>
      </c>
      <c r="BN12" s="117">
        <f t="shared" ref="BN12" si="88">SUM(BN4:BN11)</f>
        <v>253.95999999999185</v>
      </c>
      <c r="BO12" s="118">
        <f t="shared" ref="BO12" si="89">SUM(BO4:BO11)</f>
        <v>-193772.91999999998</v>
      </c>
      <c r="BP12" s="141">
        <f t="shared" ref="BP12" si="90">SUM(BP4:BP11)</f>
        <v>-194026.88</v>
      </c>
      <c r="BQ12" s="110">
        <f>SUM(BQ4:BQ11)</f>
        <v>222475.88</v>
      </c>
      <c r="BR12" s="121">
        <f t="shared" ref="BR12" si="91">SUM(BR4:BR11)</f>
        <v>222726.88</v>
      </c>
      <c r="BS12" s="129">
        <f t="shared" ref="BS12" si="92">SUM(BS4:BS11)</f>
        <v>0</v>
      </c>
      <c r="BT12" s="117">
        <f t="shared" ref="BT12" si="93">SUM(BT4:BT11)</f>
        <v>250.99999999998909</v>
      </c>
      <c r="BU12" s="118">
        <f t="shared" ref="BU12" si="94">SUM(BU4:BU11)</f>
        <v>-222475.88</v>
      </c>
      <c r="BV12" s="141">
        <f t="shared" ref="BV12" si="95">SUM(BV4:BV11)</f>
        <v>-222726.88</v>
      </c>
      <c r="BX12" s="176">
        <f>SUM(BX4:BX11)</f>
        <v>4523024</v>
      </c>
      <c r="BY12" s="110">
        <f>SUM(BY4:BY11)</f>
        <v>5540528.5599999996</v>
      </c>
      <c r="BZ12" s="177">
        <f>SUM(BZ4:BZ11)</f>
        <v>5812191.0299999993</v>
      </c>
      <c r="CA12" s="117">
        <f t="shared" ref="CA12" si="96">SUM(CA4:CA11)</f>
        <v>1017504.5599999998</v>
      </c>
      <c r="CB12" s="118">
        <f t="shared" ref="CB12" si="97">SUM(CB4:CB11)</f>
        <v>1289167.0300000003</v>
      </c>
      <c r="CC12" s="141">
        <f t="shared" ref="CC12" si="98">SUM(CC4:CC11)</f>
        <v>271662.47000000032</v>
      </c>
    </row>
    <row r="13" spans="1:81" x14ac:dyDescent="0.2">
      <c r="A13" s="146"/>
      <c r="B13" s="203"/>
      <c r="C13" s="124"/>
      <c r="D13" s="125"/>
      <c r="E13" s="131"/>
      <c r="F13" s="126"/>
      <c r="G13" s="126"/>
      <c r="H13" s="142"/>
      <c r="I13" s="124"/>
      <c r="J13" s="125"/>
      <c r="K13" s="131"/>
      <c r="L13" s="126"/>
      <c r="M13" s="126"/>
      <c r="N13" s="142"/>
      <c r="O13" s="124"/>
      <c r="P13" s="125"/>
      <c r="Q13" s="131"/>
      <c r="R13" s="126"/>
      <c r="S13" s="126"/>
      <c r="T13" s="142"/>
      <c r="U13" s="124"/>
      <c r="V13" s="125"/>
      <c r="W13" s="131"/>
      <c r="X13" s="126"/>
      <c r="Y13" s="126"/>
      <c r="Z13" s="142"/>
      <c r="AA13" s="124"/>
      <c r="AB13" s="125"/>
      <c r="AC13" s="131"/>
      <c r="AD13" s="126"/>
      <c r="AE13" s="126"/>
      <c r="AF13" s="142"/>
      <c r="AG13" s="124"/>
      <c r="AH13" s="125"/>
      <c r="AI13" s="131"/>
      <c r="AJ13" s="126"/>
      <c r="AK13" s="126"/>
      <c r="AL13" s="142"/>
      <c r="AM13" s="124"/>
      <c r="AN13" s="125"/>
      <c r="AO13" s="131"/>
      <c r="AP13" s="126"/>
      <c r="AQ13" s="126"/>
      <c r="AR13" s="142"/>
      <c r="AS13" s="124"/>
      <c r="AT13" s="125"/>
      <c r="AU13" s="131"/>
      <c r="AV13" s="126"/>
      <c r="AW13" s="126"/>
      <c r="AX13" s="142"/>
      <c r="AY13" s="124"/>
      <c r="AZ13" s="125"/>
      <c r="BA13" s="131"/>
      <c r="BB13" s="126"/>
      <c r="BC13" s="126"/>
      <c r="BD13" s="142"/>
      <c r="BE13" s="124"/>
      <c r="BF13" s="125"/>
      <c r="BG13" s="131"/>
      <c r="BH13" s="126"/>
      <c r="BI13" s="126"/>
      <c r="BJ13" s="142"/>
      <c r="BK13" s="124"/>
      <c r="BL13" s="125"/>
      <c r="BM13" s="131"/>
      <c r="BN13" s="126"/>
      <c r="BO13" s="126"/>
      <c r="BP13" s="142"/>
      <c r="BQ13" s="124"/>
      <c r="BR13" s="125"/>
      <c r="BS13" s="131"/>
      <c r="BT13" s="126"/>
      <c r="BU13" s="126"/>
      <c r="BV13" s="142"/>
      <c r="BX13" s="190"/>
      <c r="BY13" s="191"/>
      <c r="BZ13" s="192"/>
      <c r="CA13" s="126"/>
      <c r="CB13" s="126"/>
      <c r="CC13" s="142"/>
    </row>
    <row r="14" spans="1:81" x14ac:dyDescent="0.2">
      <c r="A14" s="149"/>
      <c r="B14" s="204"/>
      <c r="C14" s="114" t="s">
        <v>130</v>
      </c>
      <c r="D14" s="114" t="s">
        <v>131</v>
      </c>
      <c r="E14" s="127" t="s">
        <v>129</v>
      </c>
      <c r="F14" s="112" t="s">
        <v>135</v>
      </c>
      <c r="G14" s="113" t="s">
        <v>135</v>
      </c>
      <c r="H14" s="138" t="s">
        <v>135</v>
      </c>
      <c r="I14" s="114" t="s">
        <v>130</v>
      </c>
      <c r="J14" s="114" t="s">
        <v>131</v>
      </c>
      <c r="K14" s="127" t="s">
        <v>129</v>
      </c>
      <c r="L14" s="112" t="s">
        <v>135</v>
      </c>
      <c r="M14" s="113" t="s">
        <v>135</v>
      </c>
      <c r="N14" s="138" t="s">
        <v>135</v>
      </c>
      <c r="O14" s="114" t="s">
        <v>130</v>
      </c>
      <c r="P14" s="114" t="s">
        <v>131</v>
      </c>
      <c r="Q14" s="127" t="s">
        <v>129</v>
      </c>
      <c r="R14" s="112" t="s">
        <v>135</v>
      </c>
      <c r="S14" s="113" t="s">
        <v>135</v>
      </c>
      <c r="T14" s="138" t="s">
        <v>135</v>
      </c>
      <c r="U14" s="114" t="s">
        <v>130</v>
      </c>
      <c r="V14" s="114" t="s">
        <v>131</v>
      </c>
      <c r="W14" s="127" t="s">
        <v>129</v>
      </c>
      <c r="X14" s="112" t="s">
        <v>135</v>
      </c>
      <c r="Y14" s="113" t="s">
        <v>135</v>
      </c>
      <c r="Z14" s="138" t="s">
        <v>135</v>
      </c>
      <c r="AA14" s="114" t="s">
        <v>130</v>
      </c>
      <c r="AB14" s="114" t="s">
        <v>131</v>
      </c>
      <c r="AC14" s="127" t="s">
        <v>129</v>
      </c>
      <c r="AD14" s="112" t="s">
        <v>135</v>
      </c>
      <c r="AE14" s="113" t="s">
        <v>135</v>
      </c>
      <c r="AF14" s="138" t="s">
        <v>135</v>
      </c>
      <c r="AG14" s="114" t="s">
        <v>130</v>
      </c>
      <c r="AH14" s="114" t="s">
        <v>131</v>
      </c>
      <c r="AI14" s="127" t="s">
        <v>129</v>
      </c>
      <c r="AJ14" s="112" t="s">
        <v>135</v>
      </c>
      <c r="AK14" s="113" t="s">
        <v>135</v>
      </c>
      <c r="AL14" s="138" t="s">
        <v>135</v>
      </c>
      <c r="AM14" s="114" t="s">
        <v>130</v>
      </c>
      <c r="AN14" s="114" t="s">
        <v>131</v>
      </c>
      <c r="AO14" s="127" t="s">
        <v>129</v>
      </c>
      <c r="AP14" s="112" t="s">
        <v>135</v>
      </c>
      <c r="AQ14" s="113" t="s">
        <v>135</v>
      </c>
      <c r="AR14" s="138" t="s">
        <v>135</v>
      </c>
      <c r="AS14" s="114" t="s">
        <v>130</v>
      </c>
      <c r="AT14" s="114" t="s">
        <v>131</v>
      </c>
      <c r="AU14" s="127" t="s">
        <v>129</v>
      </c>
      <c r="AV14" s="112" t="s">
        <v>135</v>
      </c>
      <c r="AW14" s="113" t="s">
        <v>135</v>
      </c>
      <c r="AX14" s="138" t="s">
        <v>135</v>
      </c>
      <c r="AY14" s="114" t="s">
        <v>130</v>
      </c>
      <c r="AZ14" s="114" t="s">
        <v>131</v>
      </c>
      <c r="BA14" s="127" t="s">
        <v>129</v>
      </c>
      <c r="BB14" s="112" t="s">
        <v>135</v>
      </c>
      <c r="BC14" s="113" t="s">
        <v>135</v>
      </c>
      <c r="BD14" s="138" t="s">
        <v>135</v>
      </c>
      <c r="BE14" s="114" t="s">
        <v>130</v>
      </c>
      <c r="BF14" s="114" t="s">
        <v>131</v>
      </c>
      <c r="BG14" s="127" t="s">
        <v>129</v>
      </c>
      <c r="BH14" s="112" t="s">
        <v>135</v>
      </c>
      <c r="BI14" s="113" t="s">
        <v>135</v>
      </c>
      <c r="BJ14" s="138" t="s">
        <v>135</v>
      </c>
      <c r="BK14" s="114" t="s">
        <v>130</v>
      </c>
      <c r="BL14" s="114" t="s">
        <v>131</v>
      </c>
      <c r="BM14" s="127" t="s">
        <v>129</v>
      </c>
      <c r="BN14" s="112" t="s">
        <v>135</v>
      </c>
      <c r="BO14" s="113" t="s">
        <v>135</v>
      </c>
      <c r="BP14" s="138" t="s">
        <v>135</v>
      </c>
      <c r="BQ14" s="114" t="s">
        <v>130</v>
      </c>
      <c r="BR14" s="114" t="s">
        <v>131</v>
      </c>
      <c r="BS14" s="127" t="s">
        <v>129</v>
      </c>
      <c r="BT14" s="112" t="s">
        <v>135</v>
      </c>
      <c r="BU14" s="113" t="s">
        <v>135</v>
      </c>
      <c r="BV14" s="138" t="s">
        <v>135</v>
      </c>
      <c r="BX14" s="167"/>
      <c r="BY14" s="168"/>
      <c r="BZ14" s="169"/>
      <c r="CA14" s="112" t="s">
        <v>135</v>
      </c>
      <c r="CB14" s="113" t="s">
        <v>135</v>
      </c>
      <c r="CC14" s="138" t="s">
        <v>135</v>
      </c>
    </row>
    <row r="15" spans="1:81" ht="22.5" x14ac:dyDescent="0.2">
      <c r="A15" s="145" t="s">
        <v>117</v>
      </c>
      <c r="B15" s="199"/>
      <c r="C15" s="134"/>
      <c r="D15" s="134"/>
      <c r="E15" s="135"/>
      <c r="F15" s="136" t="s">
        <v>132</v>
      </c>
      <c r="G15" s="137" t="s">
        <v>133</v>
      </c>
      <c r="H15" s="139" t="s">
        <v>134</v>
      </c>
      <c r="I15" s="134"/>
      <c r="J15" s="134"/>
      <c r="K15" s="135"/>
      <c r="L15" s="136" t="s">
        <v>132</v>
      </c>
      <c r="M15" s="137" t="s">
        <v>133</v>
      </c>
      <c r="N15" s="139" t="s">
        <v>134</v>
      </c>
      <c r="O15" s="134"/>
      <c r="P15" s="134"/>
      <c r="Q15" s="135"/>
      <c r="R15" s="136" t="s">
        <v>132</v>
      </c>
      <c r="S15" s="137" t="s">
        <v>133</v>
      </c>
      <c r="T15" s="139" t="s">
        <v>134</v>
      </c>
      <c r="U15" s="134"/>
      <c r="V15" s="134"/>
      <c r="W15" s="135"/>
      <c r="X15" s="136" t="s">
        <v>132</v>
      </c>
      <c r="Y15" s="137" t="s">
        <v>133</v>
      </c>
      <c r="Z15" s="139" t="s">
        <v>134</v>
      </c>
      <c r="AA15" s="134"/>
      <c r="AB15" s="134"/>
      <c r="AC15" s="135"/>
      <c r="AD15" s="136" t="s">
        <v>132</v>
      </c>
      <c r="AE15" s="137" t="s">
        <v>133</v>
      </c>
      <c r="AF15" s="139" t="s">
        <v>134</v>
      </c>
      <c r="AG15" s="134"/>
      <c r="AH15" s="134"/>
      <c r="AI15" s="135"/>
      <c r="AJ15" s="136" t="s">
        <v>132</v>
      </c>
      <c r="AK15" s="137" t="s">
        <v>133</v>
      </c>
      <c r="AL15" s="139" t="s">
        <v>134</v>
      </c>
      <c r="AM15" s="134"/>
      <c r="AN15" s="134"/>
      <c r="AO15" s="135"/>
      <c r="AP15" s="136" t="s">
        <v>132</v>
      </c>
      <c r="AQ15" s="137" t="s">
        <v>133</v>
      </c>
      <c r="AR15" s="139" t="s">
        <v>134</v>
      </c>
      <c r="AS15" s="134"/>
      <c r="AT15" s="134"/>
      <c r="AU15" s="135"/>
      <c r="AV15" s="136" t="s">
        <v>132</v>
      </c>
      <c r="AW15" s="137" t="s">
        <v>133</v>
      </c>
      <c r="AX15" s="139" t="s">
        <v>134</v>
      </c>
      <c r="AY15" s="134"/>
      <c r="AZ15" s="134"/>
      <c r="BA15" s="135"/>
      <c r="BB15" s="136" t="s">
        <v>132</v>
      </c>
      <c r="BC15" s="137" t="s">
        <v>133</v>
      </c>
      <c r="BD15" s="139" t="s">
        <v>134</v>
      </c>
      <c r="BE15" s="134"/>
      <c r="BF15" s="134"/>
      <c r="BG15" s="135"/>
      <c r="BH15" s="136" t="s">
        <v>132</v>
      </c>
      <c r="BI15" s="137" t="s">
        <v>133</v>
      </c>
      <c r="BJ15" s="139" t="s">
        <v>134</v>
      </c>
      <c r="BK15" s="134"/>
      <c r="BL15" s="134"/>
      <c r="BM15" s="135"/>
      <c r="BN15" s="136" t="s">
        <v>132</v>
      </c>
      <c r="BO15" s="137" t="s">
        <v>133</v>
      </c>
      <c r="BP15" s="139" t="s">
        <v>134</v>
      </c>
      <c r="BQ15" s="134"/>
      <c r="BR15" s="134"/>
      <c r="BS15" s="135"/>
      <c r="BT15" s="136" t="s">
        <v>132</v>
      </c>
      <c r="BU15" s="137" t="s">
        <v>133</v>
      </c>
      <c r="BV15" s="139" t="s">
        <v>134</v>
      </c>
      <c r="BX15" s="193" t="s">
        <v>123</v>
      </c>
      <c r="BY15" s="194" t="s">
        <v>131</v>
      </c>
      <c r="BZ15" s="195" t="s">
        <v>136</v>
      </c>
      <c r="CA15" s="136" t="s">
        <v>132</v>
      </c>
      <c r="CB15" s="137" t="s">
        <v>133</v>
      </c>
      <c r="CC15" s="139" t="s">
        <v>134</v>
      </c>
    </row>
    <row r="16" spans="1:81" x14ac:dyDescent="0.2">
      <c r="A16" s="147"/>
      <c r="B16" s="201" t="s">
        <v>55</v>
      </c>
      <c r="C16" s="160">
        <f>IF(C$1='Simplified Budget'!D$1,VLOOKUP($B16,'Simplified Budget'!$C$3:$O$17,2,),0)</f>
        <v>339008.57</v>
      </c>
      <c r="D16" s="155">
        <v>339008.57</v>
      </c>
      <c r="E16" s="156">
        <v>311382.73</v>
      </c>
      <c r="F16" s="157">
        <f t="shared" ref="F16:F21" si="99">D16-C16</f>
        <v>0</v>
      </c>
      <c r="G16" s="158">
        <f t="shared" ref="G16:G21" si="100">E16-C16</f>
        <v>-27625.840000000026</v>
      </c>
      <c r="H16" s="159">
        <f t="shared" ref="H16:H21" si="101">E16-D16</f>
        <v>-27625.840000000026</v>
      </c>
      <c r="I16" s="160">
        <f>IF(I$1='Simplified Budget'!E$1,VLOOKUP($B16,'Simplified Budget'!$C$3:$O$17,3,),0)</f>
        <v>350735.22</v>
      </c>
      <c r="J16" s="155">
        <v>350735.22</v>
      </c>
      <c r="K16" s="156">
        <v>320086.61</v>
      </c>
      <c r="L16" s="157">
        <f t="shared" ref="L16:L21" si="102">J16-I16</f>
        <v>0</v>
      </c>
      <c r="M16" s="158">
        <f t="shared" ref="M16:M21" si="103">K16-I16</f>
        <v>-30648.609999999986</v>
      </c>
      <c r="N16" s="159">
        <f t="shared" ref="N16:N21" si="104">K16-J16</f>
        <v>-30648.609999999986</v>
      </c>
      <c r="O16" s="160">
        <f>IF(O$1='Simplified Budget'!F$1,VLOOKUP($B16,'Simplified Budget'!$C$3:$O$17,4,),0)</f>
        <v>339279.22</v>
      </c>
      <c r="P16" s="155">
        <v>339279.22</v>
      </c>
      <c r="Q16" s="156">
        <v>350870.16</v>
      </c>
      <c r="R16" s="157">
        <f t="shared" ref="R16:R21" si="105">P16-O16</f>
        <v>0</v>
      </c>
      <c r="S16" s="158">
        <f t="shared" ref="S16:S21" si="106">Q16-O16</f>
        <v>11590.940000000002</v>
      </c>
      <c r="T16" s="159">
        <f t="shared" ref="T16:T21" si="107">Q16-P16</f>
        <v>11590.940000000002</v>
      </c>
      <c r="U16" s="160">
        <f>IF(U$1='Simplified Budget'!G$1,VLOOKUP($B16,'Simplified Budget'!$C$3:$O$17,5,),0)</f>
        <v>350735.22</v>
      </c>
      <c r="V16" s="155">
        <v>350735.22</v>
      </c>
      <c r="W16" s="161">
        <v>322907.03999999998</v>
      </c>
      <c r="X16" s="157">
        <f t="shared" ref="X16:X21" si="108">V16-U16</f>
        <v>0</v>
      </c>
      <c r="Y16" s="158">
        <f t="shared" ref="Y16:Y21" si="109">W16-U16</f>
        <v>-27828.179999999993</v>
      </c>
      <c r="Z16" s="159">
        <f t="shared" ref="Z16:Z21" si="110">W16-V16</f>
        <v>-27828.179999999993</v>
      </c>
      <c r="AA16" s="162">
        <f>IF(AA$1='Simplified Budget'!H$1,VLOOKUP($B16,'Simplified Budget'!$C$3:$O$17,6,),0)</f>
        <v>339279.22</v>
      </c>
      <c r="AB16" s="155">
        <v>339279.22</v>
      </c>
      <c r="AC16" s="156">
        <v>311590</v>
      </c>
      <c r="AD16" s="157">
        <f t="shared" ref="AD16:AD21" si="111">AB16-AA16</f>
        <v>0</v>
      </c>
      <c r="AE16" s="158">
        <f t="shared" ref="AE16:AE21" si="112">AC16-AA16</f>
        <v>-27689.219999999972</v>
      </c>
      <c r="AF16" s="159">
        <f t="shared" ref="AF16:AF21" si="113">AC16-AB16</f>
        <v>-27689.219999999972</v>
      </c>
      <c r="AG16" s="160">
        <f>IF(AG$1='Simplified Budget'!I$1,VLOOKUP($B16,'Simplified Budget'!$C$3:$O$17,7,),0)</f>
        <v>354937.22</v>
      </c>
      <c r="AH16" s="155">
        <v>354937.22</v>
      </c>
      <c r="AI16" s="156">
        <v>310248</v>
      </c>
      <c r="AJ16" s="157">
        <f t="shared" ref="AJ16:AJ21" si="114">AH16-AG16</f>
        <v>0</v>
      </c>
      <c r="AK16" s="158">
        <f t="shared" ref="AK16:AK21" si="115">AI16-AG16</f>
        <v>-44689.219999999972</v>
      </c>
      <c r="AL16" s="159">
        <f t="shared" ref="AL16:AL21" si="116">AI16-AH16</f>
        <v>-44689.219999999972</v>
      </c>
      <c r="AM16" s="160">
        <f>IF(AM$1='Simplified Budget'!J$1,VLOOKUP($B16,'Simplified Budget'!$C$3:$O$17,8,),0)</f>
        <v>344351.22</v>
      </c>
      <c r="AN16" s="155">
        <v>344351.22</v>
      </c>
      <c r="AO16" s="156">
        <v>316105</v>
      </c>
      <c r="AP16" s="157">
        <f t="shared" ref="AP16:AP21" si="117">AN16-AM16</f>
        <v>0</v>
      </c>
      <c r="AQ16" s="158">
        <f t="shared" ref="AQ16:AQ21" si="118">AO16-AM16</f>
        <v>-28246.219999999972</v>
      </c>
      <c r="AR16" s="159">
        <f t="shared" ref="AR16:AR21" si="119">AO16-AN16</f>
        <v>-28246.219999999972</v>
      </c>
      <c r="AS16" s="160">
        <f>IF(AS$1='Simplified Budget'!K$1,VLOOKUP($B16,'Simplified Budget'!$C$3:$O$17,9,),0)</f>
        <v>355807.22</v>
      </c>
      <c r="AT16" s="155">
        <v>355807.22</v>
      </c>
      <c r="AU16" s="156">
        <v>0</v>
      </c>
      <c r="AV16" s="157">
        <f t="shared" ref="AV16:AV21" si="120">AT16-AS16</f>
        <v>0</v>
      </c>
      <c r="AW16" s="158">
        <f t="shared" ref="AW16:AW21" si="121">AU16-AS16</f>
        <v>-355807.22</v>
      </c>
      <c r="AX16" s="159">
        <f t="shared" ref="AX16:AX21" si="122">AU16-AT16</f>
        <v>-355807.22</v>
      </c>
      <c r="AY16" s="160">
        <f>IF(AY$1='Simplified Budget'!L$1,VLOOKUP($B16,'Simplified Budget'!$C$3:$O$17,10,),0)</f>
        <v>344351.22</v>
      </c>
      <c r="AZ16" s="155">
        <v>344351.22</v>
      </c>
      <c r="BA16" s="156">
        <v>0</v>
      </c>
      <c r="BB16" s="157">
        <f t="shared" ref="BB16:BB21" si="123">AZ16-AY16</f>
        <v>0</v>
      </c>
      <c r="BC16" s="158">
        <f t="shared" ref="BC16:BC21" si="124">BA16-AY16</f>
        <v>-344351.22</v>
      </c>
      <c r="BD16" s="159">
        <f t="shared" ref="BD16:BD21" si="125">BA16-AZ16</f>
        <v>-344351.22</v>
      </c>
      <c r="BE16" s="160">
        <f>IF(BE$1='Simplified Budget'!M$1,VLOOKUP($B16,'Simplified Budget'!$C$3:$O$17,11,),0)</f>
        <v>344351.22</v>
      </c>
      <c r="BF16" s="155">
        <v>344351.22</v>
      </c>
      <c r="BG16" s="156">
        <v>0</v>
      </c>
      <c r="BH16" s="157">
        <f t="shared" ref="BH16:BH21" si="126">BF16-BE16</f>
        <v>0</v>
      </c>
      <c r="BI16" s="158">
        <f t="shared" ref="BI16:BI21" si="127">BG16-BE16</f>
        <v>-344351.22</v>
      </c>
      <c r="BJ16" s="159">
        <f t="shared" ref="BJ16:BJ21" si="128">BG16-BF16</f>
        <v>-344351.22</v>
      </c>
      <c r="BK16" s="160">
        <f>IF(BK$1='Simplified Budget'!N$1,VLOOKUP($B16,'Simplified Budget'!$C$3:$O$17,12,),0)</f>
        <v>344351.22</v>
      </c>
      <c r="BL16" s="165">
        <v>344351.22</v>
      </c>
      <c r="BM16" s="156">
        <v>0</v>
      </c>
      <c r="BN16" s="157">
        <f t="shared" ref="BN16:BN21" si="129">BL16-BK16</f>
        <v>0</v>
      </c>
      <c r="BO16" s="158">
        <f t="shared" ref="BO16:BO21" si="130">BM16-BK16</f>
        <v>-344351.22</v>
      </c>
      <c r="BP16" s="159">
        <f t="shared" ref="BP16:BP21" si="131">BM16-BL16</f>
        <v>-344351.22</v>
      </c>
      <c r="BQ16" s="160">
        <f>IF(BQ$1='Simplified Budget'!O$1,VLOOKUP($B16,'Simplified Budget'!$C$3:$O$17,13,),0)</f>
        <v>355807.23</v>
      </c>
      <c r="BR16" s="155">
        <v>355807.23</v>
      </c>
      <c r="BS16" s="156">
        <v>0</v>
      </c>
      <c r="BT16" s="157">
        <f t="shared" ref="BT16:BT21" si="132">BR16-BQ16</f>
        <v>0</v>
      </c>
      <c r="BU16" s="158">
        <f t="shared" ref="BU16:BU21" si="133">BS16-BQ16</f>
        <v>-355807.23</v>
      </c>
      <c r="BV16" s="159">
        <f t="shared" ref="BV16:BV21" si="134">BS16-BR16</f>
        <v>-355807.23</v>
      </c>
      <c r="BX16" s="173">
        <f t="shared" ref="BX16:BY19" si="135">C16+I16+O16+U16+AA16+AG16+AM16+AS16+AY16+BE16+BK16+BQ16</f>
        <v>4162993.9999999986</v>
      </c>
      <c r="BY16" s="174">
        <f t="shared" si="135"/>
        <v>4162993.9999999986</v>
      </c>
      <c r="BZ16" s="175">
        <f t="shared" ref="BZ16:BZ19" si="136">(IF(E16=0,D16,E16)+IF(K16=0,J16,K16)+IF(Q16=0,P16,Q16)+IF(W16=0,V16,W16)+IF(AC16=0,AB16,AC16)+IF(AI16=0,AH16,AI16)+IF(AO16=0,AN16,AO16)+IF(AU16=0,AT16,AU16)+IF(BA16=0,AZ16,BA16)+IF(BG16=0,BF16,BG16)+IF(BM16=0,BL16,BM16)+IF(BS16=0,BR16,BS16))</f>
        <v>3987857.649999999</v>
      </c>
      <c r="CA16" s="157">
        <f t="shared" ref="CA16:CA21" si="137">BY16-BX16</f>
        <v>0</v>
      </c>
      <c r="CB16" s="158">
        <f t="shared" ref="CB16:CB21" si="138">BZ16-BX16</f>
        <v>-175136.34999999963</v>
      </c>
      <c r="CC16" s="159">
        <f t="shared" ref="CC16:CC21" si="139">BZ16-BY16</f>
        <v>-175136.34999999963</v>
      </c>
    </row>
    <row r="17" spans="1:81" x14ac:dyDescent="0.2">
      <c r="A17" s="147"/>
      <c r="B17" s="200" t="s">
        <v>118</v>
      </c>
      <c r="C17" s="109">
        <f>IF(C$1='Simplified Budget'!D$1,VLOOKUP($B17,'Simplified Budget'!$C$3:$O$17,2,),0)</f>
        <v>6267</v>
      </c>
      <c r="D17" s="122">
        <v>6267</v>
      </c>
      <c r="E17" s="128">
        <v>7521.51</v>
      </c>
      <c r="F17" s="115">
        <f t="shared" si="99"/>
        <v>0</v>
      </c>
      <c r="G17" s="116">
        <f t="shared" si="100"/>
        <v>1254.5100000000002</v>
      </c>
      <c r="H17" s="140">
        <f t="shared" si="101"/>
        <v>1254.5100000000002</v>
      </c>
      <c r="I17" s="109">
        <f>IF(I$1='Simplified Budget'!E$1,VLOOKUP($B17,'Simplified Budget'!$C$3:$O$17,3,),0)</f>
        <v>4553</v>
      </c>
      <c r="J17" s="122">
        <v>4553</v>
      </c>
      <c r="K17" s="128">
        <v>4552.78</v>
      </c>
      <c r="L17" s="115">
        <f t="shared" si="102"/>
        <v>0</v>
      </c>
      <c r="M17" s="116">
        <f t="shared" si="103"/>
        <v>-0.22000000000025466</v>
      </c>
      <c r="N17" s="140">
        <f t="shared" si="104"/>
        <v>-0.22000000000025466</v>
      </c>
      <c r="O17" s="109">
        <f>IF(O$1='Simplified Budget'!F$1,VLOOKUP($B17,'Simplified Budget'!$C$3:$O$17,4,),0)</f>
        <v>5353</v>
      </c>
      <c r="P17" s="122">
        <v>5353</v>
      </c>
      <c r="Q17" s="128">
        <v>4802.78</v>
      </c>
      <c r="R17" s="115">
        <f t="shared" si="105"/>
        <v>0</v>
      </c>
      <c r="S17" s="116">
        <f t="shared" si="106"/>
        <v>-550.22000000000025</v>
      </c>
      <c r="T17" s="140">
        <f t="shared" si="107"/>
        <v>-550.22000000000025</v>
      </c>
      <c r="U17" s="109">
        <f>IF(U$1='Simplified Budget'!G$1,VLOOKUP($B17,'Simplified Budget'!$C$3:$O$17,5,),0)</f>
        <v>6303</v>
      </c>
      <c r="V17" s="122">
        <v>6303</v>
      </c>
      <c r="W17" s="128">
        <v>6847.73</v>
      </c>
      <c r="X17" s="115">
        <f t="shared" si="108"/>
        <v>0</v>
      </c>
      <c r="Y17" s="116">
        <f t="shared" si="109"/>
        <v>544.72999999999956</v>
      </c>
      <c r="Z17" s="140">
        <f t="shared" si="110"/>
        <v>544.72999999999956</v>
      </c>
      <c r="AA17" s="109">
        <f>IF(AA$1='Simplified Budget'!H$1,VLOOKUP($B17,'Simplified Budget'!$C$3:$O$17,6,),0)</f>
        <v>9203</v>
      </c>
      <c r="AB17" s="122">
        <v>9203</v>
      </c>
      <c r="AC17" s="128">
        <v>4553</v>
      </c>
      <c r="AD17" s="115">
        <f t="shared" si="111"/>
        <v>0</v>
      </c>
      <c r="AE17" s="116">
        <f t="shared" si="112"/>
        <v>-4650</v>
      </c>
      <c r="AF17" s="140">
        <f t="shared" si="113"/>
        <v>-4650</v>
      </c>
      <c r="AG17" s="109">
        <f>IF(AG$1='Simplified Budget'!I$1,VLOOKUP($B17,'Simplified Budget'!$C$3:$O$17,7,),0)</f>
        <v>8803</v>
      </c>
      <c r="AH17" s="122">
        <v>8803</v>
      </c>
      <c r="AI17" s="128">
        <v>11051</v>
      </c>
      <c r="AJ17" s="115">
        <f t="shared" si="114"/>
        <v>0</v>
      </c>
      <c r="AK17" s="116">
        <f t="shared" si="115"/>
        <v>2248</v>
      </c>
      <c r="AL17" s="140">
        <f t="shared" si="116"/>
        <v>2248</v>
      </c>
      <c r="AM17" s="109">
        <f>IF(AM$1='Simplified Budget'!J$1,VLOOKUP($B17,'Simplified Budget'!$C$3:$O$17,8,),0)</f>
        <v>10803</v>
      </c>
      <c r="AN17" s="122">
        <v>10803</v>
      </c>
      <c r="AO17" s="128">
        <v>4553</v>
      </c>
      <c r="AP17" s="115">
        <f t="shared" si="117"/>
        <v>0</v>
      </c>
      <c r="AQ17" s="116">
        <f t="shared" si="118"/>
        <v>-6250</v>
      </c>
      <c r="AR17" s="140">
        <f t="shared" si="119"/>
        <v>-6250</v>
      </c>
      <c r="AS17" s="109">
        <f>IF(AS$1='Simplified Budget'!K$1,VLOOKUP($B17,'Simplified Budget'!$C$3:$O$17,9,),0)</f>
        <v>8053</v>
      </c>
      <c r="AT17" s="122">
        <v>8053</v>
      </c>
      <c r="AU17" s="128">
        <v>0</v>
      </c>
      <c r="AV17" s="115">
        <f t="shared" si="120"/>
        <v>0</v>
      </c>
      <c r="AW17" s="116">
        <f t="shared" si="121"/>
        <v>-8053</v>
      </c>
      <c r="AX17" s="140">
        <f t="shared" si="122"/>
        <v>-8053</v>
      </c>
      <c r="AY17" s="109">
        <f>IF(AY$1='Simplified Budget'!L$1,VLOOKUP($B17,'Simplified Budget'!$C$3:$O$17,10,),0)</f>
        <v>5353</v>
      </c>
      <c r="AZ17" s="122">
        <v>5353</v>
      </c>
      <c r="BA17" s="128">
        <v>0</v>
      </c>
      <c r="BB17" s="115">
        <f t="shared" si="123"/>
        <v>0</v>
      </c>
      <c r="BC17" s="116">
        <f t="shared" si="124"/>
        <v>-5353</v>
      </c>
      <c r="BD17" s="140">
        <f t="shared" si="125"/>
        <v>-5353</v>
      </c>
      <c r="BE17" s="109">
        <f>IF(BE$1='Simplified Budget'!M$1,VLOOKUP($B17,'Simplified Budget'!$C$3:$O$17,11,),0)</f>
        <v>16503</v>
      </c>
      <c r="BF17" s="122">
        <v>16503</v>
      </c>
      <c r="BG17" s="128">
        <v>0</v>
      </c>
      <c r="BH17" s="115">
        <f t="shared" si="126"/>
        <v>0</v>
      </c>
      <c r="BI17" s="116">
        <f t="shared" si="127"/>
        <v>-16503</v>
      </c>
      <c r="BJ17" s="140">
        <f t="shared" si="128"/>
        <v>-16503</v>
      </c>
      <c r="BK17" s="163">
        <f>IF(BK$1='Simplified Budget'!N$1,VLOOKUP($B17,'Simplified Budget'!$C$3:$O$17,12,),0)</f>
        <v>4603</v>
      </c>
      <c r="BL17" s="120">
        <v>4603</v>
      </c>
      <c r="BM17" s="128">
        <v>0</v>
      </c>
      <c r="BN17" s="115">
        <f t="shared" si="129"/>
        <v>0</v>
      </c>
      <c r="BO17" s="116">
        <f t="shared" si="130"/>
        <v>-4603</v>
      </c>
      <c r="BP17" s="140">
        <f t="shared" si="131"/>
        <v>-4603</v>
      </c>
      <c r="BQ17" s="109">
        <f>IF(BQ$1='Simplified Budget'!O$1,VLOOKUP($B17,'Simplified Budget'!$C$3:$O$17,13,),0)</f>
        <v>8803</v>
      </c>
      <c r="BR17" s="122">
        <v>8803</v>
      </c>
      <c r="BS17" s="128">
        <v>0</v>
      </c>
      <c r="BT17" s="115">
        <f t="shared" si="132"/>
        <v>0</v>
      </c>
      <c r="BU17" s="116">
        <f t="shared" si="133"/>
        <v>-8803</v>
      </c>
      <c r="BV17" s="140">
        <f t="shared" si="134"/>
        <v>-8803</v>
      </c>
      <c r="BX17" s="173">
        <f t="shared" si="135"/>
        <v>94600</v>
      </c>
      <c r="BY17" s="174">
        <f t="shared" si="135"/>
        <v>94600</v>
      </c>
      <c r="BZ17" s="175">
        <f t="shared" si="136"/>
        <v>87196.800000000003</v>
      </c>
      <c r="CA17" s="115">
        <f t="shared" si="137"/>
        <v>0</v>
      </c>
      <c r="CB17" s="116">
        <f t="shared" si="138"/>
        <v>-7403.1999999999971</v>
      </c>
      <c r="CC17" s="140">
        <f t="shared" si="139"/>
        <v>-7403.1999999999971</v>
      </c>
    </row>
    <row r="18" spans="1:81" x14ac:dyDescent="0.2">
      <c r="A18" s="147"/>
      <c r="B18" s="200" t="s">
        <v>59</v>
      </c>
      <c r="C18" s="109">
        <f>IF(C$1='Simplified Budget'!D$1,VLOOKUP($B18,'Simplified Budget'!$C$3:$O$17,2,),0)</f>
        <v>5761</v>
      </c>
      <c r="D18" s="122">
        <v>5761</v>
      </c>
      <c r="E18" s="128">
        <v>5993.49</v>
      </c>
      <c r="F18" s="115">
        <f t="shared" si="99"/>
        <v>0</v>
      </c>
      <c r="G18" s="116">
        <f t="shared" si="100"/>
        <v>232.48999999999978</v>
      </c>
      <c r="H18" s="140">
        <f t="shared" si="101"/>
        <v>232.48999999999978</v>
      </c>
      <c r="I18" s="109">
        <f>IF(I$1='Simplified Budget'!E$1,VLOOKUP($B18,'Simplified Budget'!$C$3:$O$17,3,),0)</f>
        <v>5761</v>
      </c>
      <c r="J18" s="122">
        <v>5761</v>
      </c>
      <c r="K18" s="128">
        <v>5548</v>
      </c>
      <c r="L18" s="115">
        <f t="shared" si="102"/>
        <v>0</v>
      </c>
      <c r="M18" s="116">
        <f t="shared" si="103"/>
        <v>-213</v>
      </c>
      <c r="N18" s="140">
        <f t="shared" si="104"/>
        <v>-213</v>
      </c>
      <c r="O18" s="109">
        <f>IF(O$1='Simplified Budget'!F$1,VLOOKUP($B18,'Simplified Budget'!$C$3:$O$17,4,),0)</f>
        <v>5761</v>
      </c>
      <c r="P18" s="122">
        <v>5761</v>
      </c>
      <c r="Q18" s="128">
        <v>5548</v>
      </c>
      <c r="R18" s="115">
        <f t="shared" si="105"/>
        <v>0</v>
      </c>
      <c r="S18" s="116">
        <f t="shared" si="106"/>
        <v>-213</v>
      </c>
      <c r="T18" s="140">
        <f t="shared" si="107"/>
        <v>-213</v>
      </c>
      <c r="U18" s="109">
        <f>IF(U$1='Simplified Budget'!G$1,VLOOKUP($B18,'Simplified Budget'!$C$3:$O$17,5,),0)</f>
        <v>5761</v>
      </c>
      <c r="V18" s="122">
        <v>5761</v>
      </c>
      <c r="W18" s="128">
        <v>5548</v>
      </c>
      <c r="X18" s="115">
        <f t="shared" si="108"/>
        <v>0</v>
      </c>
      <c r="Y18" s="116">
        <f t="shared" si="109"/>
        <v>-213</v>
      </c>
      <c r="Z18" s="140">
        <f t="shared" si="110"/>
        <v>-213</v>
      </c>
      <c r="AA18" s="109">
        <f>IF(AA$1='Simplified Budget'!H$1,VLOOKUP($B18,'Simplified Budget'!$C$3:$O$17,6,),0)</f>
        <v>5761</v>
      </c>
      <c r="AB18" s="122">
        <v>5761</v>
      </c>
      <c r="AC18" s="128">
        <v>5107</v>
      </c>
      <c r="AD18" s="115">
        <f t="shared" si="111"/>
        <v>0</v>
      </c>
      <c r="AE18" s="116">
        <f t="shared" si="112"/>
        <v>-654</v>
      </c>
      <c r="AF18" s="140">
        <f t="shared" si="113"/>
        <v>-654</v>
      </c>
      <c r="AG18" s="109">
        <f>IF(AG$1='Simplified Budget'!I$1,VLOOKUP($B18,'Simplified Budget'!$C$3:$O$17,7,),0)</f>
        <v>5761</v>
      </c>
      <c r="AH18" s="122">
        <v>5761</v>
      </c>
      <c r="AI18" s="128">
        <v>5548</v>
      </c>
      <c r="AJ18" s="115">
        <f t="shared" si="114"/>
        <v>0</v>
      </c>
      <c r="AK18" s="116">
        <f t="shared" si="115"/>
        <v>-213</v>
      </c>
      <c r="AL18" s="140">
        <f t="shared" si="116"/>
        <v>-213</v>
      </c>
      <c r="AM18" s="109">
        <f>IF(AM$1='Simplified Budget'!J$1,VLOOKUP($B18,'Simplified Budget'!$C$3:$O$17,8,),0)</f>
        <v>5761</v>
      </c>
      <c r="AN18" s="122">
        <v>5761</v>
      </c>
      <c r="AO18" s="128">
        <v>5548</v>
      </c>
      <c r="AP18" s="115">
        <f t="shared" si="117"/>
        <v>0</v>
      </c>
      <c r="AQ18" s="116">
        <f t="shared" si="118"/>
        <v>-213</v>
      </c>
      <c r="AR18" s="140">
        <f t="shared" si="119"/>
        <v>-213</v>
      </c>
      <c r="AS18" s="109">
        <f>IF(AS$1='Simplified Budget'!K$1,VLOOKUP($B18,'Simplified Budget'!$C$3:$O$17,9,),0)</f>
        <v>5761</v>
      </c>
      <c r="AT18" s="122">
        <v>5761</v>
      </c>
      <c r="AU18" s="128">
        <v>0</v>
      </c>
      <c r="AV18" s="115">
        <f t="shared" si="120"/>
        <v>0</v>
      </c>
      <c r="AW18" s="116">
        <f t="shared" si="121"/>
        <v>-5761</v>
      </c>
      <c r="AX18" s="140">
        <f t="shared" si="122"/>
        <v>-5761</v>
      </c>
      <c r="AY18" s="109">
        <f>IF(AY$1='Simplified Budget'!L$1,VLOOKUP($B18,'Simplified Budget'!$C$3:$O$17,10,),0)</f>
        <v>5761</v>
      </c>
      <c r="AZ18" s="122">
        <v>5761</v>
      </c>
      <c r="BA18" s="128">
        <v>0</v>
      </c>
      <c r="BB18" s="115">
        <f t="shared" si="123"/>
        <v>0</v>
      </c>
      <c r="BC18" s="116">
        <f t="shared" si="124"/>
        <v>-5761</v>
      </c>
      <c r="BD18" s="140">
        <f t="shared" si="125"/>
        <v>-5761</v>
      </c>
      <c r="BE18" s="109">
        <f>IF(BE$1='Simplified Budget'!M$1,VLOOKUP($B18,'Simplified Budget'!$C$3:$O$17,11,),0)</f>
        <v>5761</v>
      </c>
      <c r="BF18" s="122">
        <v>5761</v>
      </c>
      <c r="BG18" s="128">
        <v>0</v>
      </c>
      <c r="BH18" s="115">
        <f t="shared" si="126"/>
        <v>0</v>
      </c>
      <c r="BI18" s="116">
        <f t="shared" si="127"/>
        <v>-5761</v>
      </c>
      <c r="BJ18" s="140">
        <f t="shared" si="128"/>
        <v>-5761</v>
      </c>
      <c r="BK18" s="163">
        <f>IF(BK$1='Simplified Budget'!N$1,VLOOKUP($B18,'Simplified Budget'!$C$3:$O$17,12,),0)</f>
        <v>5761</v>
      </c>
      <c r="BL18" s="120">
        <v>5761</v>
      </c>
      <c r="BM18" s="128">
        <v>0</v>
      </c>
      <c r="BN18" s="115">
        <f t="shared" si="129"/>
        <v>0</v>
      </c>
      <c r="BO18" s="116">
        <f t="shared" si="130"/>
        <v>-5761</v>
      </c>
      <c r="BP18" s="140">
        <f t="shared" si="131"/>
        <v>-5761</v>
      </c>
      <c r="BQ18" s="109">
        <f>IF(BQ$1='Simplified Budget'!O$1,VLOOKUP($B18,'Simplified Budget'!$C$3:$O$17,13,),0)</f>
        <v>5761</v>
      </c>
      <c r="BR18" s="122">
        <v>5761</v>
      </c>
      <c r="BS18" s="128">
        <v>0</v>
      </c>
      <c r="BT18" s="115">
        <f t="shared" si="132"/>
        <v>0</v>
      </c>
      <c r="BU18" s="116">
        <f t="shared" si="133"/>
        <v>-5761</v>
      </c>
      <c r="BV18" s="140">
        <f t="shared" si="134"/>
        <v>-5761</v>
      </c>
      <c r="BX18" s="173">
        <f t="shared" si="135"/>
        <v>69132</v>
      </c>
      <c r="BY18" s="174">
        <f t="shared" si="135"/>
        <v>69132</v>
      </c>
      <c r="BZ18" s="175">
        <f t="shared" si="136"/>
        <v>67645.489999999991</v>
      </c>
      <c r="CA18" s="115">
        <f t="shared" si="137"/>
        <v>0</v>
      </c>
      <c r="CB18" s="116">
        <f t="shared" si="138"/>
        <v>-1486.5100000000093</v>
      </c>
      <c r="CC18" s="140">
        <f t="shared" si="139"/>
        <v>-1486.5100000000093</v>
      </c>
    </row>
    <row r="19" spans="1:81" ht="13.5" thickBot="1" x14ac:dyDescent="0.25">
      <c r="A19" s="147"/>
      <c r="B19" s="205" t="s">
        <v>119</v>
      </c>
      <c r="C19" s="109">
        <f>IF(C$1='Simplified Budget'!D$1,VLOOKUP($B19,'Simplified Budget'!$C$3:$O$17,2,),0)</f>
        <v>81792</v>
      </c>
      <c r="D19" s="122">
        <v>81792</v>
      </c>
      <c r="E19" s="128">
        <v>71741.740000000005</v>
      </c>
      <c r="F19" s="115">
        <f t="shared" si="99"/>
        <v>0</v>
      </c>
      <c r="G19" s="116">
        <f t="shared" si="100"/>
        <v>-10050.259999999995</v>
      </c>
      <c r="H19" s="140">
        <f t="shared" si="101"/>
        <v>-10050.259999999995</v>
      </c>
      <c r="I19" s="109">
        <f>IF(I$1='Simplified Budget'!E$1,VLOOKUP($B19,'Simplified Budget'!$C$3:$O$17,3,),0)</f>
        <v>50651</v>
      </c>
      <c r="J19" s="122">
        <v>50651</v>
      </c>
      <c r="K19" s="128">
        <v>58119.1</v>
      </c>
      <c r="L19" s="115">
        <f t="shared" si="102"/>
        <v>0</v>
      </c>
      <c r="M19" s="116">
        <f t="shared" si="103"/>
        <v>7468.0999999999985</v>
      </c>
      <c r="N19" s="140">
        <f t="shared" si="104"/>
        <v>7468.0999999999985</v>
      </c>
      <c r="O19" s="109">
        <f>IF(O$1='Simplified Budget'!F$1,VLOOKUP($B19,'Simplified Budget'!$C$3:$O$17,4,),0)</f>
        <v>50580</v>
      </c>
      <c r="P19" s="122">
        <v>50580</v>
      </c>
      <c r="Q19" s="128">
        <v>38963.31</v>
      </c>
      <c r="R19" s="115">
        <f t="shared" si="105"/>
        <v>0</v>
      </c>
      <c r="S19" s="116">
        <f t="shared" si="106"/>
        <v>-11616.690000000002</v>
      </c>
      <c r="T19" s="140">
        <f t="shared" si="107"/>
        <v>-11616.690000000002</v>
      </c>
      <c r="U19" s="109">
        <f>IF(U$1='Simplified Budget'!G$1,VLOOKUP($B19,'Simplified Budget'!$C$3:$O$17,5,),0)</f>
        <v>44987</v>
      </c>
      <c r="V19" s="122">
        <v>44987</v>
      </c>
      <c r="W19" s="128">
        <v>43587.93</v>
      </c>
      <c r="X19" s="115">
        <f t="shared" si="108"/>
        <v>0</v>
      </c>
      <c r="Y19" s="116">
        <f t="shared" si="109"/>
        <v>-1399.0699999999997</v>
      </c>
      <c r="Z19" s="140">
        <f t="shared" si="110"/>
        <v>-1399.0699999999997</v>
      </c>
      <c r="AA19" s="109">
        <f>IF(AA$1='Simplified Budget'!H$1,VLOOKUP($B19,'Simplified Budget'!$C$3:$O$17,6,),0)</f>
        <v>40558</v>
      </c>
      <c r="AB19" s="122">
        <v>40558</v>
      </c>
      <c r="AC19" s="128">
        <v>34933</v>
      </c>
      <c r="AD19" s="115">
        <f t="shared" si="111"/>
        <v>0</v>
      </c>
      <c r="AE19" s="116">
        <f t="shared" si="112"/>
        <v>-5625</v>
      </c>
      <c r="AF19" s="140">
        <f t="shared" si="113"/>
        <v>-5625</v>
      </c>
      <c r="AG19" s="109">
        <f>IF(AG$1='Simplified Budget'!I$1,VLOOKUP($B19,'Simplified Budget'!$C$3:$O$17,7,),0)</f>
        <v>44060</v>
      </c>
      <c r="AH19" s="122">
        <v>44060</v>
      </c>
      <c r="AI19" s="128">
        <v>53661</v>
      </c>
      <c r="AJ19" s="115">
        <f t="shared" si="114"/>
        <v>0</v>
      </c>
      <c r="AK19" s="116">
        <f t="shared" si="115"/>
        <v>9601</v>
      </c>
      <c r="AL19" s="140">
        <f t="shared" si="116"/>
        <v>9601</v>
      </c>
      <c r="AM19" s="109">
        <f>IF(AM$1='Simplified Budget'!J$1,VLOOKUP($B19,'Simplified Budget'!$C$3:$O$17,8,),0)</f>
        <v>56305</v>
      </c>
      <c r="AN19" s="122">
        <v>56305</v>
      </c>
      <c r="AO19" s="128">
        <v>52376</v>
      </c>
      <c r="AP19" s="115">
        <f t="shared" si="117"/>
        <v>0</v>
      </c>
      <c r="AQ19" s="116">
        <f t="shared" si="118"/>
        <v>-3929</v>
      </c>
      <c r="AR19" s="140">
        <f t="shared" si="119"/>
        <v>-3929</v>
      </c>
      <c r="AS19" s="109">
        <f>IF(AS$1='Simplified Budget'!K$1,VLOOKUP($B19,'Simplified Budget'!$C$3:$O$17,9,),0)</f>
        <v>79069</v>
      </c>
      <c r="AT19" s="122">
        <v>79069</v>
      </c>
      <c r="AU19" s="128">
        <v>0</v>
      </c>
      <c r="AV19" s="115">
        <f t="shared" si="120"/>
        <v>0</v>
      </c>
      <c r="AW19" s="116">
        <f t="shared" si="121"/>
        <v>-79069</v>
      </c>
      <c r="AX19" s="140">
        <f t="shared" si="122"/>
        <v>-79069</v>
      </c>
      <c r="AY19" s="109">
        <f>IF(AY$1='Simplified Budget'!L$1,VLOOKUP($B19,'Simplified Budget'!$C$3:$O$17,10,),0)</f>
        <v>68098</v>
      </c>
      <c r="AZ19" s="122">
        <v>68098</v>
      </c>
      <c r="BA19" s="128">
        <v>0</v>
      </c>
      <c r="BB19" s="115">
        <f t="shared" si="123"/>
        <v>0</v>
      </c>
      <c r="BC19" s="116">
        <f t="shared" si="124"/>
        <v>-68098</v>
      </c>
      <c r="BD19" s="140">
        <f t="shared" si="125"/>
        <v>-68098</v>
      </c>
      <c r="BE19" s="109">
        <f>IF(BE$1='Simplified Budget'!M$1,VLOOKUP($B19,'Simplified Budget'!$C$3:$O$17,11,),0)</f>
        <v>47167</v>
      </c>
      <c r="BF19" s="122">
        <v>47167</v>
      </c>
      <c r="BG19" s="128">
        <v>0</v>
      </c>
      <c r="BH19" s="115">
        <f t="shared" si="126"/>
        <v>0</v>
      </c>
      <c r="BI19" s="116">
        <f t="shared" si="127"/>
        <v>-47167</v>
      </c>
      <c r="BJ19" s="140">
        <f t="shared" si="128"/>
        <v>-47167</v>
      </c>
      <c r="BK19" s="164">
        <f>IF(BK$1='Simplified Budget'!N$1,VLOOKUP($B19,'Simplified Budget'!$C$3:$O$17,12,),0)</f>
        <v>47945</v>
      </c>
      <c r="BL19" s="166">
        <v>47945</v>
      </c>
      <c r="BM19" s="128">
        <v>0</v>
      </c>
      <c r="BN19" s="115">
        <f t="shared" si="129"/>
        <v>0</v>
      </c>
      <c r="BO19" s="116">
        <f t="shared" si="130"/>
        <v>-47945</v>
      </c>
      <c r="BP19" s="140">
        <f t="shared" si="131"/>
        <v>-47945</v>
      </c>
      <c r="BQ19" s="109">
        <f>IF(BQ$1='Simplified Budget'!O$1,VLOOKUP($B19,'Simplified Budget'!$C$3:$O$17,13,),0)</f>
        <v>50915</v>
      </c>
      <c r="BR19" s="122">
        <v>50915</v>
      </c>
      <c r="BS19" s="128">
        <v>0</v>
      </c>
      <c r="BT19" s="115">
        <f t="shared" si="132"/>
        <v>0</v>
      </c>
      <c r="BU19" s="116">
        <f t="shared" si="133"/>
        <v>-50915</v>
      </c>
      <c r="BV19" s="140">
        <f t="shared" si="134"/>
        <v>-50915</v>
      </c>
      <c r="BX19" s="173">
        <f t="shared" si="135"/>
        <v>662127</v>
      </c>
      <c r="BY19" s="174">
        <f t="shared" si="135"/>
        <v>662127</v>
      </c>
      <c r="BZ19" s="175">
        <f t="shared" si="136"/>
        <v>646576.07999999996</v>
      </c>
      <c r="CA19" s="115">
        <f t="shared" si="137"/>
        <v>0</v>
      </c>
      <c r="CB19" s="116">
        <f t="shared" si="138"/>
        <v>-15550.920000000042</v>
      </c>
      <c r="CC19" s="140">
        <f t="shared" si="139"/>
        <v>-15550.920000000042</v>
      </c>
    </row>
    <row r="20" spans="1:81" ht="13.5" thickBot="1" x14ac:dyDescent="0.25">
      <c r="A20" s="146" t="s">
        <v>68</v>
      </c>
      <c r="B20" s="196" t="s">
        <v>120</v>
      </c>
      <c r="C20" s="111">
        <f t="shared" ref="C20:D20" si="140">SUM(C16:C19)</f>
        <v>432828.57</v>
      </c>
      <c r="D20" s="123">
        <f t="shared" si="140"/>
        <v>432828.57</v>
      </c>
      <c r="E20" s="130">
        <f>SUM(E16:E19)</f>
        <v>396639.47</v>
      </c>
      <c r="F20" s="119">
        <f t="shared" si="99"/>
        <v>0</v>
      </c>
      <c r="G20" s="119">
        <f t="shared" si="100"/>
        <v>-36189.100000000035</v>
      </c>
      <c r="H20" s="141">
        <f t="shared" si="101"/>
        <v>-36189.100000000035</v>
      </c>
      <c r="I20" s="111">
        <f t="shared" ref="I20:J20" si="141">SUM(I16:I19)</f>
        <v>411700.22</v>
      </c>
      <c r="J20" s="123">
        <f t="shared" si="141"/>
        <v>411700.22</v>
      </c>
      <c r="K20" s="130">
        <f>SUM(K16:K19)</f>
        <v>388306.49</v>
      </c>
      <c r="L20" s="119">
        <f t="shared" si="102"/>
        <v>0</v>
      </c>
      <c r="M20" s="119">
        <f t="shared" si="103"/>
        <v>-23393.729999999981</v>
      </c>
      <c r="N20" s="141">
        <f t="shared" si="104"/>
        <v>-23393.729999999981</v>
      </c>
      <c r="O20" s="111">
        <f t="shared" ref="O20:P20" si="142">SUM(O16:O19)</f>
        <v>400973.22</v>
      </c>
      <c r="P20" s="123">
        <f t="shared" si="142"/>
        <v>400973.22</v>
      </c>
      <c r="Q20" s="130">
        <f>SUM(Q16:Q19)</f>
        <v>400184.25</v>
      </c>
      <c r="R20" s="119">
        <f t="shared" si="105"/>
        <v>0</v>
      </c>
      <c r="S20" s="119">
        <f t="shared" si="106"/>
        <v>-788.96999999997206</v>
      </c>
      <c r="T20" s="141">
        <f t="shared" si="107"/>
        <v>-788.96999999997206</v>
      </c>
      <c r="U20" s="111">
        <f t="shared" ref="U20:V20" si="143">SUM(U16:U19)</f>
        <v>407786.22</v>
      </c>
      <c r="V20" s="123">
        <f t="shared" si="143"/>
        <v>407786.22</v>
      </c>
      <c r="W20" s="130">
        <f>SUM(W16:W19)</f>
        <v>378890.69999999995</v>
      </c>
      <c r="X20" s="119">
        <f t="shared" si="108"/>
        <v>0</v>
      </c>
      <c r="Y20" s="119">
        <f t="shared" si="109"/>
        <v>-28895.520000000019</v>
      </c>
      <c r="Z20" s="141">
        <f t="shared" si="110"/>
        <v>-28895.520000000019</v>
      </c>
      <c r="AA20" s="111">
        <f t="shared" ref="AA20:AB20" si="144">SUM(AA16:AA19)</f>
        <v>394801.22</v>
      </c>
      <c r="AB20" s="123">
        <f t="shared" si="144"/>
        <v>394801.22</v>
      </c>
      <c r="AC20" s="130">
        <f>SUM(AC16:AC19)</f>
        <v>356183</v>
      </c>
      <c r="AD20" s="119">
        <f t="shared" si="111"/>
        <v>0</v>
      </c>
      <c r="AE20" s="119">
        <f t="shared" si="112"/>
        <v>-38618.219999999972</v>
      </c>
      <c r="AF20" s="141">
        <f t="shared" si="113"/>
        <v>-38618.219999999972</v>
      </c>
      <c r="AG20" s="111">
        <f t="shared" ref="AG20:AH20" si="145">SUM(AG16:AG19)</f>
        <v>413561.22</v>
      </c>
      <c r="AH20" s="123">
        <f t="shared" si="145"/>
        <v>413561.22</v>
      </c>
      <c r="AI20" s="130">
        <f>SUM(AI16:AI19)</f>
        <v>380508</v>
      </c>
      <c r="AJ20" s="119">
        <f t="shared" si="114"/>
        <v>0</v>
      </c>
      <c r="AK20" s="119">
        <f t="shared" si="115"/>
        <v>-33053.219999999972</v>
      </c>
      <c r="AL20" s="141">
        <f t="shared" si="116"/>
        <v>-33053.219999999972</v>
      </c>
      <c r="AM20" s="111">
        <f t="shared" ref="AM20:AN20" si="146">SUM(AM16:AM19)</f>
        <v>417220.22</v>
      </c>
      <c r="AN20" s="123">
        <f t="shared" si="146"/>
        <v>417220.22</v>
      </c>
      <c r="AO20" s="130">
        <f>SUM(AO16:AO19)</f>
        <v>378582</v>
      </c>
      <c r="AP20" s="119">
        <f t="shared" si="117"/>
        <v>0</v>
      </c>
      <c r="AQ20" s="119">
        <f t="shared" si="118"/>
        <v>-38638.219999999972</v>
      </c>
      <c r="AR20" s="141">
        <f t="shared" si="119"/>
        <v>-38638.219999999972</v>
      </c>
      <c r="AS20" s="111">
        <f t="shared" ref="AS20:AT20" si="147">SUM(AS16:AS19)</f>
        <v>448690.22</v>
      </c>
      <c r="AT20" s="123">
        <f t="shared" si="147"/>
        <v>448690.22</v>
      </c>
      <c r="AU20" s="130">
        <f>SUM(AU16:AU19)</f>
        <v>0</v>
      </c>
      <c r="AV20" s="119">
        <f t="shared" si="120"/>
        <v>0</v>
      </c>
      <c r="AW20" s="119">
        <f t="shared" si="121"/>
        <v>-448690.22</v>
      </c>
      <c r="AX20" s="141">
        <f t="shared" si="122"/>
        <v>-448690.22</v>
      </c>
      <c r="AY20" s="111">
        <f t="shared" ref="AY20:AZ20" si="148">SUM(AY16:AY19)</f>
        <v>423563.22</v>
      </c>
      <c r="AZ20" s="123">
        <f t="shared" si="148"/>
        <v>423563.22</v>
      </c>
      <c r="BA20" s="130">
        <f>SUM(BA16:BA19)</f>
        <v>0</v>
      </c>
      <c r="BB20" s="119">
        <f t="shared" si="123"/>
        <v>0</v>
      </c>
      <c r="BC20" s="119">
        <f t="shared" si="124"/>
        <v>-423563.22</v>
      </c>
      <c r="BD20" s="141">
        <f t="shared" si="125"/>
        <v>-423563.22</v>
      </c>
      <c r="BE20" s="111">
        <f t="shared" ref="BE20:BF20" si="149">SUM(BE16:BE19)</f>
        <v>413782.22</v>
      </c>
      <c r="BF20" s="123">
        <f t="shared" si="149"/>
        <v>413782.22</v>
      </c>
      <c r="BG20" s="130">
        <f>SUM(BG16:BG19)</f>
        <v>0</v>
      </c>
      <c r="BH20" s="119">
        <f t="shared" si="126"/>
        <v>0</v>
      </c>
      <c r="BI20" s="119">
        <f t="shared" si="127"/>
        <v>-413782.22</v>
      </c>
      <c r="BJ20" s="141">
        <f t="shared" si="128"/>
        <v>-413782.22</v>
      </c>
      <c r="BK20" s="111">
        <f t="shared" ref="BK20:BL20" si="150">SUM(BK16:BK19)</f>
        <v>402660.22</v>
      </c>
      <c r="BL20" s="123">
        <f t="shared" si="150"/>
        <v>402660.22</v>
      </c>
      <c r="BM20" s="130">
        <f>SUM(BM16:BM19)</f>
        <v>0</v>
      </c>
      <c r="BN20" s="119">
        <f t="shared" si="129"/>
        <v>0</v>
      </c>
      <c r="BO20" s="119">
        <f t="shared" si="130"/>
        <v>-402660.22</v>
      </c>
      <c r="BP20" s="141">
        <f t="shared" si="131"/>
        <v>-402660.22</v>
      </c>
      <c r="BQ20" s="111">
        <f t="shared" ref="BQ20:BR20" si="151">SUM(BQ16:BQ19)</f>
        <v>421286.23</v>
      </c>
      <c r="BR20" s="123">
        <f t="shared" si="151"/>
        <v>421286.23</v>
      </c>
      <c r="BS20" s="130">
        <f>SUM(BS16:BS19)</f>
        <v>0</v>
      </c>
      <c r="BT20" s="119">
        <f t="shared" si="132"/>
        <v>0</v>
      </c>
      <c r="BU20" s="119">
        <f t="shared" si="133"/>
        <v>-421286.23</v>
      </c>
      <c r="BV20" s="141">
        <f t="shared" si="134"/>
        <v>-421286.23</v>
      </c>
      <c r="BX20" s="178">
        <f t="shared" ref="BX20:BY20" si="152">SUM(BX16:BX19)</f>
        <v>4988852.9999999981</v>
      </c>
      <c r="BY20" s="111">
        <f t="shared" si="152"/>
        <v>4988852.9999999981</v>
      </c>
      <c r="BZ20" s="177">
        <f t="shared" ref="BZ20" si="153">SUM(BZ16:BZ19)</f>
        <v>4789276.0199999986</v>
      </c>
      <c r="CA20" s="119">
        <f t="shared" si="137"/>
        <v>0</v>
      </c>
      <c r="CB20" s="119">
        <f t="shared" si="138"/>
        <v>-199576.97999999952</v>
      </c>
      <c r="CC20" s="141">
        <f t="shared" si="139"/>
        <v>-199576.97999999952</v>
      </c>
    </row>
    <row r="21" spans="1:81" ht="13.5" thickBot="1" x14ac:dyDescent="0.25">
      <c r="A21" s="224" t="s">
        <v>121</v>
      </c>
      <c r="B21" s="225"/>
      <c r="C21" s="206">
        <f t="shared" ref="C21:D21" si="154">C12-C20</f>
        <v>8918.3499999999767</v>
      </c>
      <c r="D21" s="151">
        <f t="shared" si="154"/>
        <v>8918.3499999999767</v>
      </c>
      <c r="E21" s="152">
        <f>E12-E20</f>
        <v>70326.97000000003</v>
      </c>
      <c r="F21" s="153">
        <f t="shared" si="99"/>
        <v>0</v>
      </c>
      <c r="G21" s="153">
        <f t="shared" si="100"/>
        <v>61408.620000000054</v>
      </c>
      <c r="H21" s="154">
        <f t="shared" si="101"/>
        <v>61408.620000000054</v>
      </c>
      <c r="I21" s="150">
        <f t="shared" ref="I21:J21" si="155">I12-I20</f>
        <v>256572.70000000007</v>
      </c>
      <c r="J21" s="151">
        <f t="shared" si="155"/>
        <v>256572.70000000007</v>
      </c>
      <c r="K21" s="152">
        <f>K12-K20</f>
        <v>193606.96000000008</v>
      </c>
      <c r="L21" s="153">
        <f t="shared" si="102"/>
        <v>0</v>
      </c>
      <c r="M21" s="153">
        <f t="shared" si="103"/>
        <v>-62965.739999999991</v>
      </c>
      <c r="N21" s="154">
        <f t="shared" si="104"/>
        <v>-62965.739999999991</v>
      </c>
      <c r="O21" s="150">
        <f t="shared" ref="O21:P21" si="156">O12-O20</f>
        <v>-158150.29999999999</v>
      </c>
      <c r="P21" s="151">
        <f t="shared" si="156"/>
        <v>-162300.29999999999</v>
      </c>
      <c r="Q21" s="152">
        <f>Q12-Q20</f>
        <v>-186233.67</v>
      </c>
      <c r="R21" s="153">
        <f t="shared" si="105"/>
        <v>-4150</v>
      </c>
      <c r="S21" s="153">
        <f t="shared" si="106"/>
        <v>-28083.370000000024</v>
      </c>
      <c r="T21" s="154">
        <f t="shared" si="107"/>
        <v>-23933.370000000024</v>
      </c>
      <c r="U21" s="150">
        <f t="shared" ref="U21:V21" si="157">U12-U20</f>
        <v>96960.700000000012</v>
      </c>
      <c r="V21" s="151">
        <f t="shared" si="157"/>
        <v>51960.700000000012</v>
      </c>
      <c r="W21" s="152">
        <f>W12-W20</f>
        <v>404286.46000000008</v>
      </c>
      <c r="X21" s="153">
        <f t="shared" si="108"/>
        <v>-45000</v>
      </c>
      <c r="Y21" s="153">
        <f t="shared" si="109"/>
        <v>307325.76000000007</v>
      </c>
      <c r="Z21" s="154">
        <f t="shared" si="110"/>
        <v>352325.76000000007</v>
      </c>
      <c r="AA21" s="150">
        <f t="shared" ref="AA21:AB21" si="158">AA12-AA20</f>
        <v>-180828.3</v>
      </c>
      <c r="AB21" s="151">
        <f t="shared" si="158"/>
        <v>-198243.3</v>
      </c>
      <c r="AC21" s="152">
        <f>AC12-AC20</f>
        <v>-150234</v>
      </c>
      <c r="AD21" s="153">
        <f t="shared" si="111"/>
        <v>-17415</v>
      </c>
      <c r="AE21" s="153">
        <f t="shared" si="112"/>
        <v>30594.299999999988</v>
      </c>
      <c r="AF21" s="154">
        <f t="shared" si="113"/>
        <v>48009.299999999988</v>
      </c>
      <c r="AG21" s="150">
        <f t="shared" ref="AG21:AH21" si="159">AG12-AG20</f>
        <v>-87238.299999999988</v>
      </c>
      <c r="AH21" s="151">
        <f t="shared" si="159"/>
        <v>-149339.53999999998</v>
      </c>
      <c r="AI21" s="152">
        <f>AI12-AI20</f>
        <v>-95734</v>
      </c>
      <c r="AJ21" s="153">
        <f t="shared" si="114"/>
        <v>-62101.239999999991</v>
      </c>
      <c r="AK21" s="153">
        <f t="shared" si="115"/>
        <v>-8495.7000000000116</v>
      </c>
      <c r="AL21" s="154">
        <f t="shared" si="116"/>
        <v>53605.539999999979</v>
      </c>
      <c r="AM21" s="150">
        <f t="shared" ref="AM21:AN21" si="160">AM12-AM20</f>
        <v>77026.700000000012</v>
      </c>
      <c r="AN21" s="151">
        <f t="shared" si="160"/>
        <v>193930.65999999992</v>
      </c>
      <c r="AO21" s="152">
        <f>AO12-AO20</f>
        <v>236720</v>
      </c>
      <c r="AP21" s="153">
        <f t="shared" si="117"/>
        <v>116903.9599999999</v>
      </c>
      <c r="AQ21" s="153">
        <f t="shared" si="118"/>
        <v>159693.29999999999</v>
      </c>
      <c r="AR21" s="154">
        <f t="shared" si="119"/>
        <v>42789.340000000084</v>
      </c>
      <c r="AS21" s="150">
        <f t="shared" ref="AS21:AT21" si="161">AS12-AS20</f>
        <v>-27117.299999999988</v>
      </c>
      <c r="AT21" s="151">
        <f t="shared" si="161"/>
        <v>976136.65999999992</v>
      </c>
      <c r="AU21" s="152">
        <f>AU12-AU20</f>
        <v>0</v>
      </c>
      <c r="AV21" s="153">
        <f t="shared" si="120"/>
        <v>1003253.96</v>
      </c>
      <c r="AW21" s="153">
        <f t="shared" si="121"/>
        <v>27117.299999999988</v>
      </c>
      <c r="AX21" s="154">
        <f t="shared" si="122"/>
        <v>-976136.65999999992</v>
      </c>
      <c r="AY21" s="150">
        <f t="shared" ref="AY21:AZ21" si="162">AY12-AY20</f>
        <v>-108240.29999999999</v>
      </c>
      <c r="AZ21" s="151">
        <f t="shared" si="162"/>
        <v>-132986.33999999997</v>
      </c>
      <c r="BA21" s="152">
        <f>BA12-BA20</f>
        <v>0</v>
      </c>
      <c r="BB21" s="153">
        <f t="shared" si="123"/>
        <v>-24746.039999999979</v>
      </c>
      <c r="BC21" s="153">
        <f t="shared" si="124"/>
        <v>108240.29999999999</v>
      </c>
      <c r="BD21" s="154">
        <f t="shared" si="125"/>
        <v>132986.33999999997</v>
      </c>
      <c r="BE21" s="150">
        <f t="shared" ref="BE21:BF21" si="163">BE12-BE20</f>
        <v>63964.700000000012</v>
      </c>
      <c r="BF21" s="151">
        <f t="shared" si="163"/>
        <v>114218.65999999992</v>
      </c>
      <c r="BG21" s="152">
        <f>BG12-BG20</f>
        <v>0</v>
      </c>
      <c r="BH21" s="153">
        <f t="shared" si="126"/>
        <v>50253.959999999905</v>
      </c>
      <c r="BI21" s="153">
        <f t="shared" si="127"/>
        <v>-63964.700000000012</v>
      </c>
      <c r="BJ21" s="154">
        <f t="shared" si="128"/>
        <v>-114218.65999999992</v>
      </c>
      <c r="BK21" s="150">
        <f t="shared" ref="BK21:BL21" si="164">BK12-BK20</f>
        <v>-208887.3</v>
      </c>
      <c r="BL21" s="151">
        <f t="shared" si="164"/>
        <v>-208633.33999999997</v>
      </c>
      <c r="BM21" s="152">
        <f>BM12-BM20</f>
        <v>0</v>
      </c>
      <c r="BN21" s="153">
        <f t="shared" si="129"/>
        <v>253.96000000002095</v>
      </c>
      <c r="BO21" s="153">
        <f t="shared" si="130"/>
        <v>208887.3</v>
      </c>
      <c r="BP21" s="154">
        <f t="shared" si="131"/>
        <v>208633.33999999997</v>
      </c>
      <c r="BQ21" s="150">
        <f t="shared" ref="BQ21:BR21" si="165">BQ12-BQ20</f>
        <v>-198810.34999999998</v>
      </c>
      <c r="BR21" s="151">
        <f t="shared" si="165"/>
        <v>-198559.34999999998</v>
      </c>
      <c r="BS21" s="152">
        <f>BS12-BS20</f>
        <v>0</v>
      </c>
      <c r="BT21" s="153">
        <f t="shared" si="132"/>
        <v>251</v>
      </c>
      <c r="BU21" s="153">
        <f t="shared" si="133"/>
        <v>198810.34999999998</v>
      </c>
      <c r="BV21" s="154">
        <f t="shared" si="134"/>
        <v>198559.34999999998</v>
      </c>
      <c r="BX21" s="179">
        <f t="shared" ref="BX21:BY21" si="166">BX12-BX20</f>
        <v>-465828.99999999814</v>
      </c>
      <c r="BY21" s="150">
        <f t="shared" si="166"/>
        <v>551675.56000000145</v>
      </c>
      <c r="BZ21" s="180">
        <f t="shared" ref="BZ21" si="167">BZ12-BZ20</f>
        <v>1022915.0100000007</v>
      </c>
      <c r="CA21" s="153">
        <f t="shared" si="137"/>
        <v>1017504.5599999996</v>
      </c>
      <c r="CB21" s="153">
        <f t="shared" si="138"/>
        <v>1488744.0099999988</v>
      </c>
      <c r="CC21" s="154">
        <f t="shared" si="139"/>
        <v>471239.44999999925</v>
      </c>
    </row>
    <row r="24" spans="1:81" s="182" customFormat="1" x14ac:dyDescent="0.2"/>
    <row r="25" spans="1:81" s="182" customFormat="1" x14ac:dyDescent="0.2"/>
    <row r="26" spans="1:81" s="182" customFormat="1" x14ac:dyDescent="0.2"/>
    <row r="27" spans="1:81" s="182" customFormat="1" x14ac:dyDescent="0.2">
      <c r="A27" s="183"/>
      <c r="B27" s="183"/>
    </row>
    <row r="28" spans="1:81" s="182" customFormat="1" x14ac:dyDescent="0.2">
      <c r="A28" s="184"/>
      <c r="B28" s="185"/>
    </row>
    <row r="29" spans="1:81" s="182" customFormat="1" x14ac:dyDescent="0.2">
      <c r="A29" s="184"/>
      <c r="B29" s="185"/>
    </row>
    <row r="30" spans="1:81" s="182" customFormat="1" x14ac:dyDescent="0.2">
      <c r="A30" s="185"/>
      <c r="B30" s="184"/>
    </row>
    <row r="31" spans="1:81" s="182" customFormat="1" x14ac:dyDescent="0.2">
      <c r="A31" s="184"/>
      <c r="B31" s="185"/>
    </row>
    <row r="32" spans="1:81" s="182" customFormat="1" x14ac:dyDescent="0.2">
      <c r="A32" s="184"/>
      <c r="B32" s="185"/>
    </row>
    <row r="33" spans="1:2" s="182" customFormat="1" x14ac:dyDescent="0.2">
      <c r="A33" s="185"/>
      <c r="B33" s="185"/>
    </row>
    <row r="34" spans="1:2" s="182" customFormat="1" x14ac:dyDescent="0.2">
      <c r="A34" s="184"/>
      <c r="B34" s="184"/>
    </row>
    <row r="35" spans="1:2" s="182" customFormat="1" x14ac:dyDescent="0.2">
      <c r="A35" s="185"/>
      <c r="B35" s="184"/>
    </row>
    <row r="36" spans="1:2" s="182" customFormat="1" x14ac:dyDescent="0.2">
      <c r="A36" s="184"/>
      <c r="B36" s="181"/>
    </row>
    <row r="37" spans="1:2" s="182" customFormat="1" x14ac:dyDescent="0.2">
      <c r="A37" s="184"/>
      <c r="B37" s="181"/>
    </row>
    <row r="38" spans="1:2" s="182" customFormat="1" x14ac:dyDescent="0.2">
      <c r="A38" s="186"/>
      <c r="B38" s="186"/>
    </row>
    <row r="39" spans="1:2" s="182" customFormat="1" x14ac:dyDescent="0.2">
      <c r="A39" s="183"/>
      <c r="B39" s="183"/>
    </row>
    <row r="40" spans="1:2" s="182" customFormat="1" x14ac:dyDescent="0.2">
      <c r="A40" s="185"/>
      <c r="B40" s="184"/>
    </row>
    <row r="41" spans="1:2" s="182" customFormat="1" x14ac:dyDescent="0.2">
      <c r="A41" s="185"/>
      <c r="B41" s="185"/>
    </row>
    <row r="42" spans="1:2" s="182" customFormat="1" x14ac:dyDescent="0.2">
      <c r="A42" s="185"/>
      <c r="B42" s="185"/>
    </row>
    <row r="43" spans="1:2" s="182" customFormat="1" x14ac:dyDescent="0.2">
      <c r="A43" s="185"/>
      <c r="B43" s="184"/>
    </row>
    <row r="44" spans="1:2" s="182" customFormat="1" x14ac:dyDescent="0.2">
      <c r="A44" s="184"/>
      <c r="B44" s="181"/>
    </row>
    <row r="45" spans="1:2" s="182" customFormat="1" x14ac:dyDescent="0.2">
      <c r="A45" s="219"/>
      <c r="B45" s="219"/>
    </row>
    <row r="46" spans="1:2" s="182" customFormat="1" x14ac:dyDescent="0.2"/>
    <row r="47" spans="1:2" s="182" customFormat="1" x14ac:dyDescent="0.2"/>
    <row r="48" spans="1:2" s="182" customFormat="1" x14ac:dyDescent="0.2"/>
  </sheetData>
  <mergeCells count="15">
    <mergeCell ref="BE1:BJ1"/>
    <mergeCell ref="BK1:BP1"/>
    <mergeCell ref="BQ1:BV1"/>
    <mergeCell ref="A45:B45"/>
    <mergeCell ref="BX1:BZ1"/>
    <mergeCell ref="U1:Z1"/>
    <mergeCell ref="AA1:AF1"/>
    <mergeCell ref="AG1:AL1"/>
    <mergeCell ref="AM1:AR1"/>
    <mergeCell ref="AS1:AX1"/>
    <mergeCell ref="AY1:BD1"/>
    <mergeCell ref="A21:B21"/>
    <mergeCell ref="C1:H1"/>
    <mergeCell ref="I1:N1"/>
    <mergeCell ref="O1:T1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Consolidated Detailed Budget</vt:lpstr>
      <vt:lpstr>Simplified Budget</vt:lpstr>
      <vt:lpstr>Rolling Budget</vt:lpstr>
      <vt:lpstr>Forecast Summary</vt:lpstr>
      <vt:lpstr>'Consolidated Detailed Budget'!Print_Area</vt:lpstr>
      <vt:lpstr>'Consolidated Detailed Budget'!Print_Titles</vt:lpstr>
    </vt:vector>
  </TitlesOfParts>
  <Company>Hospice Calgary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Tanya Cockman</dc:creator>
  <cp:lastModifiedBy>Vicki Tang</cp:lastModifiedBy>
  <dcterms:created xsi:type="dcterms:W3CDTF">2024-05-21T15:34:46Z</dcterms:created>
  <dcterms:modified xsi:type="dcterms:W3CDTF">2024-11-22T21:36:48Z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cf00cb3-7a5d-4674-b157-6d675423df49_Enabled">
    <vt:lpwstr>true</vt:lpwstr>
  </property>
  <property fmtid="{D5CDD505-2E9C-101B-9397-08002B2CF9AE}" pid="3" name="MSIP_Label_0cf00cb3-7a5d-4674-b157-6d675423df49_SetDate">
    <vt:lpwstr>2024-09-23T03:48:07Z</vt:lpwstr>
  </property>
  <property fmtid="{D5CDD505-2E9C-101B-9397-08002B2CF9AE}" pid="4" name="MSIP_Label_0cf00cb3-7a5d-4674-b157-6d675423df49_Method">
    <vt:lpwstr>Standard</vt:lpwstr>
  </property>
  <property fmtid="{D5CDD505-2E9C-101B-9397-08002B2CF9AE}" pid="5" name="MSIP_Label_0cf00cb3-7a5d-4674-b157-6d675423df49_Name">
    <vt:lpwstr>Internal</vt:lpwstr>
  </property>
  <property fmtid="{D5CDD505-2E9C-101B-9397-08002B2CF9AE}" pid="6" name="MSIP_Label_0cf00cb3-7a5d-4674-b157-6d675423df49_SiteId">
    <vt:lpwstr>ece76e02-a02b-4c4a-906d-98a34c5ce07a</vt:lpwstr>
  </property>
  <property fmtid="{D5CDD505-2E9C-101B-9397-08002B2CF9AE}" pid="7" name="MSIP_Label_0cf00cb3-7a5d-4674-b157-6d675423df49_ActionId">
    <vt:lpwstr>75ad92ab-ff15-488d-866d-756a123e7ca5</vt:lpwstr>
  </property>
  <property fmtid="{D5CDD505-2E9C-101B-9397-08002B2CF9AE}" pid="8" name="MSIP_Label_0cf00cb3-7a5d-4674-b157-6d675423df49_ContentBits">
    <vt:lpwstr>0</vt:lpwstr>
  </property>
</Properties>
</file>